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H:\"/>
    </mc:Choice>
  </mc:AlternateContent>
  <xr:revisionPtr revIDLastSave="0" documentId="8_{9D2E13B8-511E-490B-8835-1C41204E0DC0}" xr6:coauthVersionLast="47" xr6:coauthVersionMax="47" xr10:uidLastSave="{00000000-0000-0000-0000-000000000000}"/>
  <workbookProtection workbookAlgorithmName="SHA-512" workbookHashValue="cOM6D76m9JFnhPR70iYLRyqSgZWq9dzAXenjUJO0nqwdQlbuATGVY/dfdOJOh4wmZEXEx2md83Lg3/ozsaHUwA==" workbookSaltValue="4Fyj1zFIzWpaBGgkpMYQnA==" workbookSpinCount="100000" lockStructure="1"/>
  <bookViews>
    <workbookView xWindow="-108" yWindow="-108" windowWidth="23256" windowHeight="12576" activeTab="2" xr2:uid="{00000000-000D-0000-FFFF-FFFF00000000}"/>
  </bookViews>
  <sheets>
    <sheet name="acoustique " sheetId="21" r:id="rId1"/>
    <sheet name="Doc client" sheetId="18" r:id="rId2"/>
    <sheet name="Notice de calcul" sheetId="15" r:id="rId3"/>
    <sheet name="Feuil1" sheetId="19" state="hidden" r:id="rId4"/>
    <sheet name="Datas" sheetId="17" state="hidden" r:id="rId5"/>
    <sheet name="Calcul" sheetId="16" state="hidden" r:id="rId6"/>
  </sheets>
  <externalReferences>
    <externalReference r:id="rId7"/>
  </externalReferences>
  <definedNames>
    <definedName name="Local">[1]Liste!$C$2:$C$6</definedName>
    <definedName name="Nb">[1]Liste!$C$16:$AG$16</definedName>
    <definedName name="nombre">Datas!$C$3:$C$203</definedName>
    <definedName name="Usage">[1]Liste!$C$9:$C$13</definedName>
    <definedName name="_xlnm.Print_Area" localSheetId="1">'Doc client'!$B$3:$AI$85</definedName>
    <definedName name="_xlnm.Print_Area" localSheetId="2">'Notice de calcul'!$B$3:$AJ$114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45" i="18" l="1"/>
  <c r="Y48" i="18"/>
  <c r="Y39" i="18"/>
  <c r="P48" i="18"/>
  <c r="P50" i="18"/>
  <c r="Y45" i="18"/>
  <c r="C54" i="16"/>
  <c r="D54" i="16" s="1"/>
  <c r="C53" i="16"/>
  <c r="D53" i="16" s="1"/>
  <c r="C52" i="16"/>
  <c r="D52" i="16" s="1"/>
  <c r="C51" i="16"/>
  <c r="D51" i="16" s="1"/>
  <c r="C49" i="16"/>
  <c r="D49" i="16" s="1"/>
  <c r="C50" i="16"/>
  <c r="D50" i="16" s="1"/>
  <c r="L71" i="15"/>
  <c r="Z36" i="16" l="1"/>
  <c r="Y36" i="16"/>
  <c r="X36" i="16"/>
  <c r="W36" i="16"/>
  <c r="V36" i="16"/>
  <c r="U36" i="16"/>
  <c r="K36" i="16"/>
  <c r="H53" i="16" s="1"/>
  <c r="H52" i="16" l="1"/>
  <c r="I52" i="16"/>
  <c r="J52" i="16"/>
  <c r="H54" i="16"/>
  <c r="G53" i="16"/>
  <c r="I54" i="16"/>
  <c r="E53" i="16"/>
  <c r="F53" i="16"/>
  <c r="J54" i="16"/>
  <c r="J53" i="16"/>
  <c r="E54" i="16"/>
  <c r="F52" i="16"/>
  <c r="E52" i="16"/>
  <c r="F54" i="16"/>
  <c r="G54" i="16"/>
  <c r="I53" i="16"/>
  <c r="G52" i="16"/>
  <c r="C172" i="16"/>
  <c r="D172" i="16" s="1"/>
  <c r="C173" i="16"/>
  <c r="D173" i="16" s="1"/>
  <c r="C174" i="16"/>
  <c r="D174" i="16" s="1"/>
  <c r="C171" i="16"/>
  <c r="D171" i="16" s="1"/>
  <c r="C170" i="16"/>
  <c r="D170" i="16" s="1"/>
  <c r="C168" i="16"/>
  <c r="D168" i="16" s="1"/>
  <c r="C169" i="16"/>
  <c r="D169" i="16" s="1"/>
  <c r="C167" i="16"/>
  <c r="D167" i="16" s="1"/>
  <c r="C162" i="16"/>
  <c r="D162" i="16" s="1"/>
  <c r="C161" i="16"/>
  <c r="D161" i="16" s="1"/>
  <c r="Y50" i="18"/>
  <c r="C185" i="16"/>
  <c r="C186" i="16"/>
  <c r="D186" i="16" s="1"/>
  <c r="C184" i="16"/>
  <c r="C182" i="16"/>
  <c r="C183" i="16"/>
  <c r="D183" i="16" s="1"/>
  <c r="C181" i="16"/>
  <c r="D181" i="16" s="1"/>
  <c r="H169" i="16" l="1"/>
  <c r="E169" i="16"/>
  <c r="G169" i="16"/>
  <c r="J169" i="16"/>
  <c r="F169" i="16"/>
  <c r="I169" i="16"/>
  <c r="G173" i="16"/>
  <c r="H173" i="16"/>
  <c r="F173" i="16"/>
  <c r="I173" i="16"/>
  <c r="E173" i="16"/>
  <c r="J173" i="16"/>
  <c r="E168" i="16"/>
  <c r="F168" i="16"/>
  <c r="G168" i="16"/>
  <c r="H168" i="16"/>
  <c r="I168" i="16"/>
  <c r="J168" i="16"/>
  <c r="E174" i="16"/>
  <c r="F174" i="16"/>
  <c r="G174" i="16"/>
  <c r="H174" i="16"/>
  <c r="I174" i="16"/>
  <c r="J174" i="16"/>
  <c r="E172" i="16"/>
  <c r="F172" i="16"/>
  <c r="G172" i="16"/>
  <c r="H172" i="16"/>
  <c r="I172" i="16"/>
  <c r="J172" i="16"/>
  <c r="I171" i="16"/>
  <c r="J171" i="16"/>
  <c r="E171" i="16"/>
  <c r="F171" i="16"/>
  <c r="G171" i="16"/>
  <c r="H171" i="16"/>
  <c r="E167" i="16"/>
  <c r="F167" i="16"/>
  <c r="G167" i="16"/>
  <c r="H167" i="16"/>
  <c r="I167" i="16"/>
  <c r="J167" i="16"/>
  <c r="J170" i="16"/>
  <c r="F170" i="16"/>
  <c r="G170" i="16"/>
  <c r="H170" i="16"/>
  <c r="E170" i="16"/>
  <c r="I170" i="16"/>
  <c r="I50" i="16"/>
  <c r="J50" i="16"/>
  <c r="E50" i="16"/>
  <c r="G50" i="16"/>
  <c r="H50" i="16"/>
  <c r="F50" i="16"/>
  <c r="P46" i="18" l="1"/>
  <c r="AH41" i="18" l="1"/>
  <c r="AH48" i="18"/>
  <c r="P52" i="18"/>
  <c r="H11" i="18"/>
  <c r="C207" i="16" l="1"/>
  <c r="D207" i="16" s="1"/>
  <c r="C201" i="16"/>
  <c r="C202" i="16"/>
  <c r="AH51" i="18"/>
  <c r="C213" i="16" l="1"/>
  <c r="D213" i="16" s="1"/>
  <c r="C212" i="16"/>
  <c r="D212" i="16" s="1"/>
  <c r="C211" i="16"/>
  <c r="D211" i="16" s="1"/>
  <c r="C210" i="16"/>
  <c r="D210" i="16" s="1"/>
  <c r="D156" i="16"/>
  <c r="E207" i="16" l="1"/>
  <c r="I207" i="16"/>
  <c r="H207" i="16"/>
  <c r="G207" i="16"/>
  <c r="F207" i="16"/>
  <c r="J207" i="16"/>
  <c r="AH33" i="15"/>
  <c r="C133" i="16" l="1"/>
  <c r="AH38" i="18"/>
  <c r="K25" i="16"/>
  <c r="C205" i="16" l="1"/>
  <c r="D205" i="16" s="1"/>
  <c r="C204" i="16"/>
  <c r="D204" i="16" s="1"/>
  <c r="C164" i="16"/>
  <c r="D164" i="16" s="1"/>
  <c r="C165" i="16"/>
  <c r="D165" i="16" s="1"/>
  <c r="C163" i="16"/>
  <c r="D163" i="16" s="1"/>
  <c r="C159" i="16"/>
  <c r="D159" i="16" s="1"/>
  <c r="C160" i="16"/>
  <c r="D160" i="16" s="1"/>
  <c r="C158" i="16"/>
  <c r="D158" i="16" s="1"/>
  <c r="F205" i="16" l="1"/>
  <c r="J205" i="16"/>
  <c r="G205" i="16"/>
  <c r="E205" i="16"/>
  <c r="H205" i="16"/>
  <c r="I205" i="16"/>
  <c r="F204" i="16"/>
  <c r="J204" i="16"/>
  <c r="I204" i="16"/>
  <c r="G204" i="16"/>
  <c r="E204" i="16"/>
  <c r="H204" i="16"/>
  <c r="J3" i="18"/>
  <c r="C179" i="16"/>
  <c r="D179" i="16" s="1"/>
  <c r="F179" i="16" l="1"/>
  <c r="J179" i="16"/>
  <c r="I179" i="16"/>
  <c r="G179" i="16"/>
  <c r="E179" i="16"/>
  <c r="H179" i="16"/>
  <c r="W4" i="15"/>
  <c r="V4" i="18" s="1"/>
  <c r="M4" i="15"/>
  <c r="J4" i="18" s="1"/>
  <c r="P42" i="18" l="1"/>
  <c r="K244" i="16" l="1"/>
  <c r="K239" i="16"/>
  <c r="G46" i="18" l="1"/>
  <c r="K39" i="16"/>
  <c r="C189" i="16"/>
  <c r="D189" i="16" s="1"/>
  <c r="I189" i="16" s="1"/>
  <c r="C190" i="16"/>
  <c r="D190" i="16" s="1"/>
  <c r="G190" i="16" s="1"/>
  <c r="C191" i="16"/>
  <c r="D191" i="16" s="1"/>
  <c r="C192" i="16"/>
  <c r="D192" i="16" s="1"/>
  <c r="G192" i="16" s="1"/>
  <c r="C193" i="16"/>
  <c r="D193" i="16" s="1"/>
  <c r="E193" i="16" s="1"/>
  <c r="C194" i="16"/>
  <c r="D194" i="16" s="1"/>
  <c r="C195" i="16"/>
  <c r="D195" i="16" s="1"/>
  <c r="C196" i="16"/>
  <c r="D196" i="16" s="1"/>
  <c r="G196" i="16" s="1"/>
  <c r="C197" i="16"/>
  <c r="D197" i="16" s="1"/>
  <c r="E197" i="16" s="1"/>
  <c r="C198" i="16"/>
  <c r="D198" i="16" s="1"/>
  <c r="G198" i="16" s="1"/>
  <c r="C199" i="16"/>
  <c r="D199" i="16" s="1"/>
  <c r="E199" i="16" s="1"/>
  <c r="D201" i="16"/>
  <c r="D202" i="16"/>
  <c r="C209" i="16"/>
  <c r="D209" i="16" s="1"/>
  <c r="C188" i="16"/>
  <c r="D188" i="16" s="1"/>
  <c r="C113" i="16"/>
  <c r="D113" i="16" s="1"/>
  <c r="C114" i="16"/>
  <c r="D114" i="16" s="1"/>
  <c r="C115" i="16"/>
  <c r="D115" i="16" s="1"/>
  <c r="C116" i="16"/>
  <c r="D116" i="16" s="1"/>
  <c r="C117" i="16"/>
  <c r="D117" i="16" s="1"/>
  <c r="C118" i="16"/>
  <c r="D118" i="16" s="1"/>
  <c r="C119" i="16"/>
  <c r="D119" i="16" s="1"/>
  <c r="C112" i="16"/>
  <c r="D112" i="16" s="1"/>
  <c r="E212" i="16" l="1"/>
  <c r="J211" i="16"/>
  <c r="E210" i="16"/>
  <c r="H212" i="16"/>
  <c r="G210" i="16"/>
  <c r="J212" i="16"/>
  <c r="G213" i="16"/>
  <c r="H213" i="16"/>
  <c r="I213" i="16"/>
  <c r="J213" i="16"/>
  <c r="E211" i="16"/>
  <c r="G211" i="16"/>
  <c r="H211" i="16"/>
  <c r="F212" i="16"/>
  <c r="F211" i="16"/>
  <c r="G212" i="16"/>
  <c r="F210" i="16"/>
  <c r="I212" i="16"/>
  <c r="H210" i="16"/>
  <c r="I210" i="16"/>
  <c r="J210" i="16"/>
  <c r="F213" i="16"/>
  <c r="E213" i="16"/>
  <c r="I211" i="16"/>
  <c r="F188" i="16"/>
  <c r="F209" i="16"/>
  <c r="G194" i="16"/>
  <c r="F202" i="16"/>
  <c r="J202" i="16"/>
  <c r="G202" i="16"/>
  <c r="E202" i="16"/>
  <c r="H202" i="16"/>
  <c r="I202" i="16"/>
  <c r="G201" i="16"/>
  <c r="H201" i="16"/>
  <c r="I201" i="16"/>
  <c r="F201" i="16"/>
  <c r="E201" i="16"/>
  <c r="J201" i="16"/>
  <c r="F196" i="16"/>
  <c r="E189" i="16"/>
  <c r="H189" i="16"/>
  <c r="H193" i="16"/>
  <c r="H197" i="16"/>
  <c r="J192" i="16"/>
  <c r="I188" i="16"/>
  <c r="J196" i="16"/>
  <c r="F192" i="16"/>
  <c r="E195" i="16"/>
  <c r="I195" i="16"/>
  <c r="F195" i="16"/>
  <c r="J195" i="16"/>
  <c r="G195" i="16"/>
  <c r="H195" i="16"/>
  <c r="E191" i="16"/>
  <c r="I191" i="16"/>
  <c r="F191" i="16"/>
  <c r="J191" i="16"/>
  <c r="G191" i="16"/>
  <c r="H191" i="16"/>
  <c r="I209" i="16"/>
  <c r="H188" i="16"/>
  <c r="F189" i="16"/>
  <c r="G189" i="16"/>
  <c r="G199" i="16"/>
  <c r="I198" i="16"/>
  <c r="E198" i="16"/>
  <c r="G197" i="16"/>
  <c r="I196" i="16"/>
  <c r="E196" i="16"/>
  <c r="I194" i="16"/>
  <c r="E194" i="16"/>
  <c r="G193" i="16"/>
  <c r="I192" i="16"/>
  <c r="E192" i="16"/>
  <c r="I190" i="16"/>
  <c r="E190" i="16"/>
  <c r="H209" i="16"/>
  <c r="J198" i="16"/>
  <c r="E188" i="16"/>
  <c r="G188" i="16"/>
  <c r="J189" i="16"/>
  <c r="J199" i="16"/>
  <c r="F199" i="16"/>
  <c r="H198" i="16"/>
  <c r="J197" i="16"/>
  <c r="F197" i="16"/>
  <c r="H196" i="16"/>
  <c r="H194" i="16"/>
  <c r="J193" i="16"/>
  <c r="F193" i="16"/>
  <c r="H192" i="16"/>
  <c r="H190" i="16"/>
  <c r="E209" i="16"/>
  <c r="G209" i="16"/>
  <c r="H199" i="16"/>
  <c r="F198" i="16"/>
  <c r="J194" i="16"/>
  <c r="F194" i="16"/>
  <c r="J190" i="16"/>
  <c r="F190" i="16"/>
  <c r="J188" i="16"/>
  <c r="I199" i="16"/>
  <c r="I197" i="16"/>
  <c r="I193" i="16"/>
  <c r="J209" i="16"/>
  <c r="T25" i="18" l="1"/>
  <c r="Z41" i="15" l="1"/>
  <c r="K241" i="16" l="1"/>
  <c r="AG39" i="15"/>
  <c r="K243" i="16" l="1"/>
  <c r="K242" i="16"/>
  <c r="Z35" i="16" l="1"/>
  <c r="Y35" i="16"/>
  <c r="X35" i="16"/>
  <c r="W35" i="16"/>
  <c r="V35" i="16"/>
  <c r="U35" i="16"/>
  <c r="Z15" i="16"/>
  <c r="Y15" i="16"/>
  <c r="X15" i="16"/>
  <c r="W15" i="16"/>
  <c r="V15" i="16"/>
  <c r="U15" i="16"/>
  <c r="Z14" i="16"/>
  <c r="Y14" i="16"/>
  <c r="X14" i="16"/>
  <c r="W14" i="16"/>
  <c r="V14" i="16"/>
  <c r="U14" i="16"/>
  <c r="Y230" i="16"/>
  <c r="Z230" i="16"/>
  <c r="AA230" i="16"/>
  <c r="AB230" i="16"/>
  <c r="AC230" i="16"/>
  <c r="X230" i="16"/>
  <c r="K35" i="16" l="1"/>
  <c r="E156" i="16" l="1"/>
  <c r="I156" i="16"/>
  <c r="H156" i="16"/>
  <c r="G156" i="16"/>
  <c r="F156" i="16"/>
  <c r="J156" i="16"/>
  <c r="C96" i="16"/>
  <c r="C97" i="16"/>
  <c r="D182" i="16" l="1"/>
  <c r="D184" i="16"/>
  <c r="D185" i="16"/>
  <c r="C177" i="16"/>
  <c r="D177" i="16" s="1"/>
  <c r="C176" i="16"/>
  <c r="K37" i="16"/>
  <c r="E186" i="16" l="1"/>
  <c r="I186" i="16"/>
  <c r="J186" i="16"/>
  <c r="H186" i="16"/>
  <c r="F186" i="16"/>
  <c r="G186" i="16"/>
  <c r="E185" i="16"/>
  <c r="I185" i="16"/>
  <c r="J185" i="16"/>
  <c r="H185" i="16"/>
  <c r="F185" i="16"/>
  <c r="G185" i="16"/>
  <c r="E184" i="16"/>
  <c r="I184" i="16"/>
  <c r="H184" i="16"/>
  <c r="F184" i="16"/>
  <c r="J184" i="16"/>
  <c r="G184" i="16"/>
  <c r="E183" i="16"/>
  <c r="I183" i="16"/>
  <c r="H183" i="16"/>
  <c r="F183" i="16"/>
  <c r="J183" i="16"/>
  <c r="G183" i="16"/>
  <c r="E182" i="16"/>
  <c r="I182" i="16"/>
  <c r="F182" i="16"/>
  <c r="J182" i="16"/>
  <c r="G182" i="16"/>
  <c r="H182" i="16"/>
  <c r="H181" i="16"/>
  <c r="I181" i="16"/>
  <c r="F181" i="16"/>
  <c r="J181" i="16"/>
  <c r="G181" i="16"/>
  <c r="E181" i="16"/>
  <c r="D176" i="16"/>
  <c r="F177" i="16"/>
  <c r="J177" i="16"/>
  <c r="I177" i="16"/>
  <c r="G177" i="16"/>
  <c r="E177" i="16"/>
  <c r="H177" i="16"/>
  <c r="P38" i="18"/>
  <c r="C83" i="16"/>
  <c r="D83" i="16" s="1"/>
  <c r="C72" i="16"/>
  <c r="D72" i="16" s="1"/>
  <c r="C73" i="16"/>
  <c r="D73" i="16" s="1"/>
  <c r="C74" i="16"/>
  <c r="D74" i="16" s="1"/>
  <c r="C67" i="16"/>
  <c r="D67" i="16" s="1"/>
  <c r="H176" i="16" l="1"/>
  <c r="G176" i="16"/>
  <c r="E176" i="16"/>
  <c r="J176" i="16"/>
  <c r="I176" i="16"/>
  <c r="F176" i="16"/>
  <c r="C56" i="16"/>
  <c r="D56" i="16" s="1"/>
  <c r="C57" i="16"/>
  <c r="D57" i="16" s="1"/>
  <c r="C58" i="16"/>
  <c r="D58" i="16" s="1"/>
  <c r="Y43" i="18" l="1"/>
  <c r="F7" i="18"/>
  <c r="AC11" i="18" l="1"/>
  <c r="AC13" i="18"/>
  <c r="AC15" i="18" l="1"/>
  <c r="AE7" i="18"/>
  <c r="H13" i="18"/>
  <c r="M7" i="18"/>
  <c r="AD25" i="18" l="1"/>
  <c r="L25" i="18"/>
  <c r="D25" i="18"/>
  <c r="Y41" i="18"/>
  <c r="P40" i="18"/>
  <c r="P44" i="18"/>
  <c r="G39" i="18"/>
  <c r="D151" i="16"/>
  <c r="D153" i="16"/>
  <c r="D154" i="16"/>
  <c r="D150" i="16"/>
  <c r="K34" i="16"/>
  <c r="K33" i="16"/>
  <c r="K32" i="16"/>
  <c r="K31" i="16"/>
  <c r="K30" i="16"/>
  <c r="AU47" i="18"/>
  <c r="AV47" i="18" s="1"/>
  <c r="AU46" i="18"/>
  <c r="AV46" i="18" s="1"/>
  <c r="AU45" i="18"/>
  <c r="AV45" i="18" s="1"/>
  <c r="AU44" i="18"/>
  <c r="AV44" i="18" s="1"/>
  <c r="AU43" i="18"/>
  <c r="AV43" i="18" s="1"/>
  <c r="AW28" i="18"/>
  <c r="E154" i="16" l="1"/>
  <c r="H151" i="16"/>
  <c r="F154" i="16"/>
  <c r="G151" i="16"/>
  <c r="J151" i="16"/>
  <c r="F151" i="16"/>
  <c r="I151" i="16"/>
  <c r="E151" i="16"/>
  <c r="D152" i="16"/>
  <c r="I154" i="16"/>
  <c r="H154" i="16"/>
  <c r="G154" i="16"/>
  <c r="J154" i="16"/>
  <c r="I150" i="16"/>
  <c r="F150" i="16"/>
  <c r="J150" i="16"/>
  <c r="G150" i="16"/>
  <c r="E150" i="16"/>
  <c r="H150" i="16"/>
  <c r="AG27" i="18"/>
  <c r="H153" i="16"/>
  <c r="F153" i="16"/>
  <c r="G153" i="16"/>
  <c r="E153" i="16"/>
  <c r="I153" i="16"/>
  <c r="J153" i="16"/>
  <c r="Z17" i="18"/>
  <c r="Z20" i="18"/>
  <c r="C47" i="16"/>
  <c r="C46" i="16"/>
  <c r="D46" i="16" s="1"/>
  <c r="J152" i="16" l="1"/>
  <c r="F152" i="16"/>
  <c r="I152" i="16"/>
  <c r="E152" i="16"/>
  <c r="G152" i="16"/>
  <c r="H152" i="16"/>
  <c r="C141" i="16"/>
  <c r="D141" i="16" s="1"/>
  <c r="C142" i="16"/>
  <c r="D142" i="16" s="1"/>
  <c r="C140" i="16"/>
  <c r="D140" i="16" s="1"/>
  <c r="D47" i="16"/>
  <c r="K18" i="16"/>
  <c r="C145" i="16"/>
  <c r="D145" i="16" s="1"/>
  <c r="C144" i="16"/>
  <c r="D144" i="16" s="1"/>
  <c r="C148" i="16"/>
  <c r="D148" i="16" s="1"/>
  <c r="C147" i="16"/>
  <c r="D147" i="16" s="1"/>
  <c r="I140" i="16" l="1"/>
  <c r="F142" i="16"/>
  <c r="J142" i="16"/>
  <c r="G142" i="16"/>
  <c r="I142" i="16"/>
  <c r="H142" i="16"/>
  <c r="E142" i="16"/>
  <c r="H141" i="16"/>
  <c r="E141" i="16"/>
  <c r="I141" i="16"/>
  <c r="G141" i="16"/>
  <c r="F141" i="16"/>
  <c r="J141" i="16"/>
  <c r="H140" i="16"/>
  <c r="E140" i="16"/>
  <c r="G140" i="16"/>
  <c r="J140" i="16"/>
  <c r="F140" i="16"/>
  <c r="C134" i="16"/>
  <c r="D134" i="16" s="1"/>
  <c r="C135" i="16"/>
  <c r="D135" i="16" s="1"/>
  <c r="C136" i="16"/>
  <c r="D136" i="16" s="1"/>
  <c r="C137" i="16"/>
  <c r="D137" i="16" s="1"/>
  <c r="C138" i="16"/>
  <c r="D138" i="16" s="1"/>
  <c r="D133" i="16"/>
  <c r="C127" i="16"/>
  <c r="D127" i="16" s="1"/>
  <c r="C128" i="16"/>
  <c r="D128" i="16" s="1"/>
  <c r="C129" i="16"/>
  <c r="D129" i="16" s="1"/>
  <c r="C130" i="16"/>
  <c r="D130" i="16" s="1"/>
  <c r="C131" i="16"/>
  <c r="D131" i="16" s="1"/>
  <c r="C126" i="16"/>
  <c r="D126" i="16" s="1"/>
  <c r="K20" i="16"/>
  <c r="K19" i="16"/>
  <c r="F137" i="16" l="1"/>
  <c r="F128" i="16"/>
  <c r="E128" i="16"/>
  <c r="I137" i="16"/>
  <c r="E137" i="16"/>
  <c r="G126" i="16"/>
  <c r="E126" i="16"/>
  <c r="I126" i="16"/>
  <c r="J126" i="16"/>
  <c r="H126" i="16"/>
  <c r="F126" i="16"/>
  <c r="H131" i="16"/>
  <c r="F131" i="16"/>
  <c r="G131" i="16"/>
  <c r="E131" i="16"/>
  <c r="I131" i="16"/>
  <c r="J131" i="16"/>
  <c r="E136" i="16"/>
  <c r="H136" i="16"/>
  <c r="F136" i="16"/>
  <c r="G136" i="16"/>
  <c r="I136" i="16"/>
  <c r="J136" i="16"/>
  <c r="F130" i="16"/>
  <c r="J130" i="16"/>
  <c r="G130" i="16"/>
  <c r="H130" i="16"/>
  <c r="E130" i="16"/>
  <c r="I130" i="16"/>
  <c r="G133" i="16"/>
  <c r="E133" i="16"/>
  <c r="F133" i="16"/>
  <c r="J133" i="16"/>
  <c r="H133" i="16"/>
  <c r="I133" i="16"/>
  <c r="E135" i="16"/>
  <c r="I135" i="16"/>
  <c r="F135" i="16"/>
  <c r="J135" i="16"/>
  <c r="G135" i="16"/>
  <c r="H135" i="16"/>
  <c r="H127" i="16"/>
  <c r="F127" i="16"/>
  <c r="E127" i="16"/>
  <c r="I127" i="16"/>
  <c r="J127" i="16"/>
  <c r="G127" i="16"/>
  <c r="H129" i="16"/>
  <c r="J129" i="16"/>
  <c r="G129" i="16"/>
  <c r="E129" i="16"/>
  <c r="I129" i="16"/>
  <c r="F129" i="16"/>
  <c r="H138" i="16"/>
  <c r="J138" i="16"/>
  <c r="E138" i="16"/>
  <c r="I138" i="16"/>
  <c r="F138" i="16"/>
  <c r="G138" i="16"/>
  <c r="G134" i="16"/>
  <c r="E134" i="16"/>
  <c r="I134" i="16"/>
  <c r="J134" i="16"/>
  <c r="H134" i="16"/>
  <c r="F134" i="16"/>
  <c r="I128" i="16"/>
  <c r="G128" i="16"/>
  <c r="G137" i="16"/>
  <c r="H128" i="16"/>
  <c r="H137" i="16"/>
  <c r="J128" i="16"/>
  <c r="J137" i="16"/>
  <c r="K240" i="16" l="1"/>
  <c r="C106" i="16" l="1"/>
  <c r="D106" i="16" s="1"/>
  <c r="C107" i="16"/>
  <c r="D107" i="16" s="1"/>
  <c r="C108" i="16"/>
  <c r="D108" i="16" s="1"/>
  <c r="C109" i="16"/>
  <c r="D109" i="16" s="1"/>
  <c r="C110" i="16"/>
  <c r="D110" i="16" s="1"/>
  <c r="C100" i="16"/>
  <c r="D100" i="16" s="1"/>
  <c r="C101" i="16"/>
  <c r="D101" i="16" s="1"/>
  <c r="C102" i="16"/>
  <c r="D102" i="16" s="1"/>
  <c r="C103" i="16"/>
  <c r="D103" i="16" s="1"/>
  <c r="C104" i="16"/>
  <c r="D104" i="16" s="1"/>
  <c r="K17" i="16"/>
  <c r="K16" i="16"/>
  <c r="C59" i="16"/>
  <c r="C60" i="16"/>
  <c r="C61" i="16"/>
  <c r="C62" i="16"/>
  <c r="C63" i="16"/>
  <c r="C64" i="16"/>
  <c r="C65" i="16"/>
  <c r="C66" i="16"/>
  <c r="C68" i="16"/>
  <c r="C69" i="16"/>
  <c r="C75" i="16"/>
  <c r="C76" i="16"/>
  <c r="C77" i="16"/>
  <c r="C78" i="16"/>
  <c r="C79" i="16"/>
  <c r="C80" i="16"/>
  <c r="C81" i="16"/>
  <c r="C82" i="16"/>
  <c r="C84" i="16"/>
  <c r="C85" i="16"/>
  <c r="F67" i="16" l="1"/>
  <c r="H67" i="16"/>
  <c r="J67" i="16"/>
  <c r="I67" i="16"/>
  <c r="E67" i="16"/>
  <c r="G67" i="16"/>
  <c r="E58" i="16"/>
  <c r="E57" i="16"/>
  <c r="F57" i="16"/>
  <c r="I56" i="16"/>
  <c r="F56" i="16"/>
  <c r="H57" i="16"/>
  <c r="G56" i="16"/>
  <c r="J58" i="16"/>
  <c r="H58" i="16"/>
  <c r="G57" i="16"/>
  <c r="J56" i="16"/>
  <c r="E56" i="16"/>
  <c r="H56" i="16"/>
  <c r="I58" i="16"/>
  <c r="F58" i="16"/>
  <c r="G58" i="16"/>
  <c r="I57" i="16"/>
  <c r="J57" i="16"/>
  <c r="E72" i="16"/>
  <c r="J83" i="16"/>
  <c r="I74" i="16"/>
  <c r="J74" i="16"/>
  <c r="F73" i="16"/>
  <c r="G72" i="16"/>
  <c r="J73" i="16"/>
  <c r="E74" i="16"/>
  <c r="I72" i="16"/>
  <c r="E83" i="16"/>
  <c r="G83" i="16"/>
  <c r="G74" i="16"/>
  <c r="E73" i="16"/>
  <c r="H72" i="16"/>
  <c r="F83" i="16"/>
  <c r="H73" i="16"/>
  <c r="I83" i="16"/>
  <c r="H83" i="16"/>
  <c r="H74" i="16"/>
  <c r="I73" i="16"/>
  <c r="G73" i="16"/>
  <c r="F72" i="16"/>
  <c r="F74" i="16"/>
  <c r="J72" i="16"/>
  <c r="E147" i="16"/>
  <c r="I147" i="16"/>
  <c r="I148" i="16"/>
  <c r="G148" i="16"/>
  <c r="H147" i="16"/>
  <c r="F147" i="16"/>
  <c r="F148" i="16"/>
  <c r="E148" i="16"/>
  <c r="J147" i="16"/>
  <c r="J148" i="16"/>
  <c r="G147" i="16"/>
  <c r="H148" i="16"/>
  <c r="I144" i="16"/>
  <c r="E145" i="16"/>
  <c r="J144" i="16"/>
  <c r="J145" i="16"/>
  <c r="G144" i="16"/>
  <c r="E144" i="16"/>
  <c r="I145" i="16"/>
  <c r="F144" i="16"/>
  <c r="G145" i="16"/>
  <c r="H145" i="16"/>
  <c r="F145" i="16"/>
  <c r="H144" i="16"/>
  <c r="C44" i="16"/>
  <c r="D44" i="16" s="1"/>
  <c r="K29" i="16"/>
  <c r="K28" i="16"/>
  <c r="E110" i="16" l="1"/>
  <c r="H110" i="16"/>
  <c r="I106" i="16"/>
  <c r="F108" i="16"/>
  <c r="J109" i="16"/>
  <c r="E104" i="16"/>
  <c r="E115" i="16"/>
  <c r="G115" i="16"/>
  <c r="H116" i="16"/>
  <c r="G114" i="16"/>
  <c r="E114" i="16"/>
  <c r="H112" i="16"/>
  <c r="E119" i="16"/>
  <c r="H119" i="16"/>
  <c r="F118" i="16"/>
  <c r="E117" i="16"/>
  <c r="G117" i="16"/>
  <c r="F113" i="16"/>
  <c r="I116" i="16"/>
  <c r="G112" i="16"/>
  <c r="J118" i="16"/>
  <c r="H113" i="16"/>
  <c r="I115" i="16"/>
  <c r="H115" i="16"/>
  <c r="F116" i="16"/>
  <c r="J114" i="16"/>
  <c r="I114" i="16"/>
  <c r="F112" i="16"/>
  <c r="I119" i="16"/>
  <c r="G119" i="16"/>
  <c r="E118" i="16"/>
  <c r="I117" i="16"/>
  <c r="H117" i="16"/>
  <c r="J113" i="16"/>
  <c r="J116" i="16"/>
  <c r="F114" i="16"/>
  <c r="J119" i="16"/>
  <c r="I113" i="16"/>
  <c r="F115" i="16"/>
  <c r="G116" i="16"/>
  <c r="E116" i="16"/>
  <c r="H114" i="16"/>
  <c r="I112" i="16"/>
  <c r="E112" i="16"/>
  <c r="F119" i="16"/>
  <c r="G118" i="16"/>
  <c r="I118" i="16"/>
  <c r="F117" i="16"/>
  <c r="E113" i="16"/>
  <c r="G113" i="16"/>
  <c r="J115" i="16"/>
  <c r="J112" i="16"/>
  <c r="H118" i="16"/>
  <c r="J117" i="16"/>
  <c r="H109" i="16"/>
  <c r="I102" i="16"/>
  <c r="I110" i="16"/>
  <c r="J101" i="16"/>
  <c r="G109" i="16"/>
  <c r="H100" i="16"/>
  <c r="E106" i="16"/>
  <c r="J107" i="16"/>
  <c r="G106" i="16"/>
  <c r="H107" i="16"/>
  <c r="G104" i="16"/>
  <c r="J103" i="16"/>
  <c r="G110" i="16"/>
  <c r="J108" i="16"/>
  <c r="I109" i="16"/>
  <c r="G102" i="16"/>
  <c r="H106" i="16"/>
  <c r="E103" i="16"/>
  <c r="F101" i="16"/>
  <c r="H102" i="16"/>
  <c r="G100" i="16"/>
  <c r="I103" i="16"/>
  <c r="J104" i="16"/>
  <c r="J110" i="16"/>
  <c r="H108" i="16"/>
  <c r="I108" i="16"/>
  <c r="G101" i="16"/>
  <c r="E101" i="16"/>
  <c r="E109" i="16"/>
  <c r="F102" i="16"/>
  <c r="E100" i="16"/>
  <c r="J100" i="16"/>
  <c r="J106" i="16"/>
  <c r="F103" i="16"/>
  <c r="I107" i="16"/>
  <c r="F107" i="16"/>
  <c r="H104" i="16"/>
  <c r="F104" i="16"/>
  <c r="J102" i="16"/>
  <c r="G103" i="16"/>
  <c r="F110" i="16"/>
  <c r="G108" i="16"/>
  <c r="E108" i="16"/>
  <c r="H101" i="16"/>
  <c r="I101" i="16"/>
  <c r="F109" i="16"/>
  <c r="E102" i="16"/>
  <c r="I100" i="16"/>
  <c r="F100" i="16"/>
  <c r="F106" i="16"/>
  <c r="H103" i="16"/>
  <c r="E107" i="16"/>
  <c r="G107" i="16"/>
  <c r="I104" i="16"/>
  <c r="K14" i="16"/>
  <c r="C45" i="16"/>
  <c r="D45" i="16" s="1"/>
  <c r="G46" i="16" l="1"/>
  <c r="F46" i="16"/>
  <c r="E46" i="16"/>
  <c r="I46" i="16"/>
  <c r="H46" i="16"/>
  <c r="J46" i="16"/>
  <c r="K246" i="16"/>
  <c r="AX34" i="15" l="1"/>
  <c r="K27" i="16" l="1"/>
  <c r="K26" i="16"/>
  <c r="K24" i="16" l="1"/>
  <c r="K23" i="16"/>
  <c r="K21" i="16"/>
  <c r="K22" i="16"/>
  <c r="D65" i="16" l="1"/>
  <c r="D66" i="16"/>
  <c r="D81" i="16"/>
  <c r="D82" i="16"/>
  <c r="D97" i="16"/>
  <c r="D96" i="16"/>
  <c r="C93" i="16"/>
  <c r="D93" i="16" s="1"/>
  <c r="C92" i="16"/>
  <c r="D89" i="16"/>
  <c r="D88" i="16"/>
  <c r="F27" i="16"/>
  <c r="G27" i="16"/>
  <c r="H27" i="16"/>
  <c r="I27" i="16"/>
  <c r="J27" i="16"/>
  <c r="E27" i="16"/>
  <c r="F96" i="16" l="1"/>
  <c r="F97" i="16"/>
  <c r="E88" i="16"/>
  <c r="I89" i="16"/>
  <c r="F89" i="16"/>
  <c r="J89" i="16"/>
  <c r="G89" i="16"/>
  <c r="E89" i="16"/>
  <c r="H89" i="16"/>
  <c r="I93" i="16"/>
  <c r="F93" i="16"/>
  <c r="J93" i="16"/>
  <c r="G93" i="16"/>
  <c r="E93" i="16"/>
  <c r="H93" i="16"/>
  <c r="H88" i="16"/>
  <c r="I88" i="16"/>
  <c r="F88" i="16"/>
  <c r="J88" i="16"/>
  <c r="G88" i="16"/>
  <c r="J96" i="16"/>
  <c r="G96" i="16"/>
  <c r="H96" i="16"/>
  <c r="I96" i="16"/>
  <c r="E96" i="16"/>
  <c r="I97" i="16"/>
  <c r="J97" i="16"/>
  <c r="G97" i="16"/>
  <c r="E97" i="16"/>
  <c r="H97" i="16"/>
  <c r="D92" i="16"/>
  <c r="G92" i="16" l="1"/>
  <c r="F92" i="16"/>
  <c r="J92" i="16"/>
  <c r="H92" i="16"/>
  <c r="I92" i="16"/>
  <c r="E92" i="16"/>
  <c r="J16" i="17" l="1"/>
  <c r="D80" i="16"/>
  <c r="D84" i="16"/>
  <c r="D85" i="16"/>
  <c r="D64" i="16"/>
  <c r="D68" i="16"/>
  <c r="D69" i="16"/>
  <c r="D61" i="16"/>
  <c r="D59" i="16"/>
  <c r="AV57" i="15"/>
  <c r="AW57" i="15" s="1"/>
  <c r="AV58" i="15"/>
  <c r="AW58" i="15" s="1"/>
  <c r="AV59" i="15"/>
  <c r="AW59" i="15" s="1"/>
  <c r="AV60" i="15"/>
  <c r="AW60" i="15" s="1"/>
  <c r="AV56" i="15"/>
  <c r="AW56" i="15" s="1"/>
  <c r="N8" i="17"/>
  <c r="M8" i="17"/>
  <c r="L8" i="17"/>
  <c r="K8" i="17"/>
  <c r="J8" i="17"/>
  <c r="I8" i="17"/>
  <c r="I246" i="16"/>
  <c r="K245" i="16"/>
  <c r="H245" i="16" s="1"/>
  <c r="H244" i="16"/>
  <c r="I242" i="16"/>
  <c r="H240" i="16"/>
  <c r="I239" i="16"/>
  <c r="K238" i="16"/>
  <c r="I238" i="16" s="1"/>
  <c r="K237" i="16"/>
  <c r="H237" i="16" s="1"/>
  <c r="K236" i="16"/>
  <c r="J236" i="16" s="1"/>
  <c r="D79" i="16"/>
  <c r="D77" i="16"/>
  <c r="D75" i="16"/>
  <c r="K15" i="16"/>
  <c r="F4" i="16"/>
  <c r="F3" i="16"/>
  <c r="I2" i="16"/>
  <c r="J247" i="16" s="1"/>
  <c r="F2" i="16"/>
  <c r="N41" i="15"/>
  <c r="C41" i="15"/>
  <c r="U39" i="15"/>
  <c r="J39" i="15"/>
  <c r="AG37" i="15"/>
  <c r="U37" i="15"/>
  <c r="J37" i="15"/>
  <c r="AA21" i="15"/>
  <c r="AA18" i="15"/>
  <c r="E49" i="16" l="1"/>
  <c r="I51" i="16"/>
  <c r="F51" i="16"/>
  <c r="E51" i="16"/>
  <c r="H51" i="16"/>
  <c r="J51" i="16"/>
  <c r="G51" i="16"/>
  <c r="H162" i="16"/>
  <c r="J162" i="16"/>
  <c r="I161" i="16"/>
  <c r="H161" i="16"/>
  <c r="E161" i="16"/>
  <c r="F161" i="16"/>
  <c r="I162" i="16"/>
  <c r="J161" i="16"/>
  <c r="F162" i="16"/>
  <c r="G161" i="16"/>
  <c r="E162" i="16"/>
  <c r="G162" i="16"/>
  <c r="AG46" i="15"/>
  <c r="AF33" i="18" s="1"/>
  <c r="AG47" i="15"/>
  <c r="AF34" i="18" s="1"/>
  <c r="F165" i="16"/>
  <c r="H164" i="16"/>
  <c r="J163" i="16"/>
  <c r="F159" i="16"/>
  <c r="H158" i="16"/>
  <c r="E164" i="16"/>
  <c r="G163" i="16"/>
  <c r="J159" i="16"/>
  <c r="J158" i="16"/>
  <c r="G165" i="16"/>
  <c r="F160" i="16"/>
  <c r="G159" i="16"/>
  <c r="G158" i="16"/>
  <c r="J164" i="16"/>
  <c r="E159" i="16"/>
  <c r="E158" i="16"/>
  <c r="I163" i="16"/>
  <c r="I160" i="16"/>
  <c r="I158" i="16"/>
  <c r="G164" i="16"/>
  <c r="F158" i="16"/>
  <c r="J165" i="16"/>
  <c r="J160" i="16"/>
  <c r="H163" i="16"/>
  <c r="H160" i="16"/>
  <c r="I164" i="16"/>
  <c r="I165" i="16"/>
  <c r="H159" i="16"/>
  <c r="I159" i="16"/>
  <c r="E163" i="16"/>
  <c r="H165" i="16"/>
  <c r="E160" i="16"/>
  <c r="E165" i="16"/>
  <c r="G160" i="16"/>
  <c r="F163" i="16"/>
  <c r="F164" i="16"/>
  <c r="G49" i="16"/>
  <c r="H49" i="16"/>
  <c r="F49" i="16"/>
  <c r="I49" i="16"/>
  <c r="J49" i="16"/>
  <c r="H47" i="16"/>
  <c r="F47" i="16"/>
  <c r="E47" i="16"/>
  <c r="I47" i="16"/>
  <c r="G47" i="16"/>
  <c r="J47" i="16"/>
  <c r="E45" i="16"/>
  <c r="G5" i="16"/>
  <c r="H243" i="16"/>
  <c r="K247" i="16"/>
  <c r="H241" i="16"/>
  <c r="G61" i="16"/>
  <c r="E59" i="16"/>
  <c r="F45" i="16"/>
  <c r="H45" i="16"/>
  <c r="G45" i="16"/>
  <c r="J45" i="16"/>
  <c r="I45" i="16"/>
  <c r="I66" i="16"/>
  <c r="F65" i="16"/>
  <c r="H66" i="16"/>
  <c r="G65" i="16"/>
  <c r="E66" i="16"/>
  <c r="H65" i="16"/>
  <c r="G66" i="16"/>
  <c r="J66" i="16"/>
  <c r="J65" i="16"/>
  <c r="F66" i="16"/>
  <c r="E65" i="16"/>
  <c r="I65" i="16"/>
  <c r="I82" i="16"/>
  <c r="H82" i="16"/>
  <c r="G81" i="16"/>
  <c r="I81" i="16"/>
  <c r="J81" i="16"/>
  <c r="E82" i="16"/>
  <c r="F82" i="16"/>
  <c r="H81" i="16"/>
  <c r="F81" i="16"/>
  <c r="J82" i="16"/>
  <c r="G82" i="16"/>
  <c r="E81" i="16"/>
  <c r="G79" i="16"/>
  <c r="H79" i="16"/>
  <c r="F79" i="16"/>
  <c r="E79" i="16"/>
  <c r="I79" i="16"/>
  <c r="J79" i="16"/>
  <c r="G84" i="16"/>
  <c r="H84" i="16"/>
  <c r="F84" i="16"/>
  <c r="E84" i="16"/>
  <c r="I84" i="16"/>
  <c r="J84" i="16"/>
  <c r="E68" i="16"/>
  <c r="I68" i="16"/>
  <c r="F68" i="16"/>
  <c r="J68" i="16"/>
  <c r="G68" i="16"/>
  <c r="H68" i="16"/>
  <c r="E80" i="16"/>
  <c r="I80" i="16"/>
  <c r="F80" i="16"/>
  <c r="J80" i="16"/>
  <c r="H80" i="16"/>
  <c r="G80" i="16"/>
  <c r="E44" i="16"/>
  <c r="E85" i="16"/>
  <c r="I85" i="16"/>
  <c r="F85" i="16"/>
  <c r="J85" i="16"/>
  <c r="G85" i="16"/>
  <c r="H85" i="16"/>
  <c r="H75" i="16"/>
  <c r="I75" i="16"/>
  <c r="G75" i="16"/>
  <c r="F75" i="16"/>
  <c r="J75" i="16"/>
  <c r="E75" i="16"/>
  <c r="G69" i="16"/>
  <c r="H69" i="16"/>
  <c r="E69" i="16"/>
  <c r="I69" i="16"/>
  <c r="F69" i="16"/>
  <c r="J69" i="16"/>
  <c r="G77" i="16"/>
  <c r="H77" i="16"/>
  <c r="J77" i="16"/>
  <c r="E77" i="16"/>
  <c r="I77" i="16"/>
  <c r="F77" i="16"/>
  <c r="G64" i="16"/>
  <c r="H64" i="16"/>
  <c r="E64" i="16"/>
  <c r="I64" i="16"/>
  <c r="J64" i="16"/>
  <c r="F64" i="16"/>
  <c r="H61" i="16"/>
  <c r="E61" i="16"/>
  <c r="I61" i="16"/>
  <c r="F61" i="16"/>
  <c r="J61" i="16"/>
  <c r="G59" i="16"/>
  <c r="H59" i="16"/>
  <c r="F59" i="16"/>
  <c r="J59" i="16"/>
  <c r="I59" i="16"/>
  <c r="F44" i="16"/>
  <c r="J44" i="16"/>
  <c r="G44" i="16"/>
  <c r="H44" i="16"/>
  <c r="I44" i="16"/>
  <c r="D62" i="16"/>
  <c r="D60" i="16"/>
  <c r="D78" i="16"/>
  <c r="D76" i="16"/>
  <c r="D63" i="16"/>
  <c r="E239" i="16"/>
  <c r="G246" i="16"/>
  <c r="E236" i="16"/>
  <c r="E240" i="16"/>
  <c r="G243" i="16"/>
  <c r="I244" i="16"/>
  <c r="F7" i="16"/>
  <c r="G244" i="16"/>
  <c r="G237" i="16"/>
  <c r="G239" i="16"/>
  <c r="F244" i="16"/>
  <c r="I247" i="16"/>
  <c r="I236" i="16"/>
  <c r="J240" i="16"/>
  <c r="H236" i="16"/>
  <c r="H239" i="16"/>
  <c r="I240" i="16"/>
  <c r="H242" i="16"/>
  <c r="E244" i="16"/>
  <c r="J244" i="16"/>
  <c r="H246" i="16"/>
  <c r="G236" i="16"/>
  <c r="F240" i="16"/>
  <c r="H238" i="16"/>
  <c r="F243" i="16"/>
  <c r="J243" i="16"/>
  <c r="E247" i="16"/>
  <c r="F236" i="16"/>
  <c r="G238" i="16"/>
  <c r="F239" i="16"/>
  <c r="J239" i="16"/>
  <c r="G240" i="16"/>
  <c r="G241" i="16"/>
  <c r="E243" i="16"/>
  <c r="I243" i="16"/>
  <c r="G245" i="16"/>
  <c r="F237" i="16"/>
  <c r="J237" i="16"/>
  <c r="F241" i="16"/>
  <c r="G242" i="16"/>
  <c r="H247" i="16"/>
  <c r="E237" i="16"/>
  <c r="I237" i="16"/>
  <c r="F238" i="16"/>
  <c r="J238" i="16"/>
  <c r="E241" i="16"/>
  <c r="I241" i="16"/>
  <c r="F242" i="16"/>
  <c r="J242" i="16"/>
  <c r="E245" i="16"/>
  <c r="I245" i="16"/>
  <c r="F246" i="16"/>
  <c r="J246" i="16"/>
  <c r="G247" i="16"/>
  <c r="E259" i="16"/>
  <c r="F8" i="16"/>
  <c r="J241" i="16"/>
  <c r="F245" i="16"/>
  <c r="J245" i="16"/>
  <c r="E238" i="16"/>
  <c r="E242" i="16"/>
  <c r="E246" i="16"/>
  <c r="F247" i="16"/>
  <c r="R71" i="15" l="1"/>
  <c r="AF71" i="15" s="1"/>
  <c r="E78" i="16"/>
  <c r="I78" i="16"/>
  <c r="F78" i="16"/>
  <c r="J78" i="16"/>
  <c r="G78" i="16"/>
  <c r="H78" i="16"/>
  <c r="G62" i="16"/>
  <c r="H62" i="16"/>
  <c r="F62" i="16"/>
  <c r="E62" i="16"/>
  <c r="I62" i="16"/>
  <c r="J62" i="16"/>
  <c r="E76" i="16"/>
  <c r="I76" i="16"/>
  <c r="F76" i="16"/>
  <c r="J76" i="16"/>
  <c r="G76" i="16"/>
  <c r="H76" i="16"/>
  <c r="E60" i="16"/>
  <c r="I60" i="16"/>
  <c r="F60" i="16"/>
  <c r="J60" i="16"/>
  <c r="H60" i="16"/>
  <c r="G60" i="16"/>
  <c r="E63" i="16"/>
  <c r="I63" i="16"/>
  <c r="F63" i="16"/>
  <c r="J63" i="16"/>
  <c r="G63" i="16"/>
  <c r="H63" i="16"/>
  <c r="H248" i="16"/>
  <c r="H249" i="16" s="1"/>
  <c r="E248" i="16"/>
  <c r="G248" i="16"/>
  <c r="G249" i="16" s="1"/>
  <c r="I248" i="16"/>
  <c r="I249" i="16" s="1"/>
  <c r="J248" i="16"/>
  <c r="J249" i="16" s="1"/>
  <c r="F248" i="16"/>
  <c r="F249" i="16" s="1"/>
  <c r="E252" i="16" l="1"/>
  <c r="E253" i="16" s="1"/>
  <c r="I252" i="16"/>
  <c r="I253" i="16" s="1"/>
  <c r="I254" i="16" s="1"/>
  <c r="F252" i="16"/>
  <c r="H252" i="16"/>
  <c r="H253" i="16" s="1"/>
  <c r="H254" i="16" s="1"/>
  <c r="J252" i="16"/>
  <c r="J253" i="16" s="1"/>
  <c r="J254" i="16" s="1"/>
  <c r="G252" i="16"/>
  <c r="G253" i="16" s="1"/>
  <c r="G254" i="16" s="1"/>
  <c r="Z78" i="15"/>
  <c r="W59" i="18" s="1"/>
  <c r="Q78" i="15"/>
  <c r="P59" i="18" s="1"/>
  <c r="T78" i="15"/>
  <c r="R59" i="18" s="1"/>
  <c r="V78" i="15"/>
  <c r="U59" i="18" s="1"/>
  <c r="N78" i="15"/>
  <c r="M59" i="18" s="1"/>
  <c r="E249" i="16"/>
  <c r="G250" i="16"/>
  <c r="E254" i="16" l="1"/>
  <c r="L79" i="15" s="1"/>
  <c r="K60" i="18" s="1"/>
  <c r="V82" i="15"/>
  <c r="U63" i="18" s="1"/>
  <c r="N9" i="17"/>
  <c r="J9" i="17"/>
  <c r="AG45" i="15"/>
  <c r="AF32" i="18" s="1"/>
  <c r="L9" i="17"/>
  <c r="Q82" i="15"/>
  <c r="P63" i="18" s="1"/>
  <c r="M9" i="17"/>
  <c r="V79" i="15"/>
  <c r="U60" i="18" s="1"/>
  <c r="L78" i="15"/>
  <c r="K59" i="18" s="1"/>
  <c r="T79" i="15"/>
  <c r="R60" i="18" s="1"/>
  <c r="Z79" i="15"/>
  <c r="Q79" i="15"/>
  <c r="P60" i="18" s="1"/>
  <c r="G255" i="16"/>
  <c r="F253" i="16"/>
  <c r="F254" i="16" s="1"/>
  <c r="K9" i="17"/>
  <c r="V83" i="15" l="1"/>
  <c r="U64" i="18" s="1"/>
  <c r="L10" i="17"/>
  <c r="L82" i="15"/>
  <c r="K63" i="18" s="1"/>
  <c r="I10" i="17"/>
  <c r="M10" i="17"/>
  <c r="N10" i="17"/>
  <c r="W60" i="18"/>
  <c r="N79" i="15"/>
  <c r="M60" i="18" s="1"/>
  <c r="I9" i="17"/>
  <c r="K10" i="17"/>
  <c r="AG73" i="15"/>
  <c r="AF56" i="18" s="1"/>
  <c r="Q83" i="15"/>
  <c r="P64" i="18" s="1"/>
  <c r="L83" i="15" l="1"/>
  <c r="K64" i="18" s="1"/>
  <c r="J10" i="17"/>
</calcChain>
</file>

<file path=xl/sharedStrings.xml><?xml version="1.0" encoding="utf-8"?>
<sst xmlns="http://schemas.openxmlformats.org/spreadsheetml/2006/main" count="658" uniqueCount="436">
  <si>
    <t>m²</t>
  </si>
  <si>
    <t>%</t>
  </si>
  <si>
    <t>N° de projet</t>
  </si>
  <si>
    <t>Date</t>
  </si>
  <si>
    <t>N° de devis</t>
  </si>
  <si>
    <t>Définition de la pièce</t>
  </si>
  <si>
    <t>Pièce concernée</t>
  </si>
  <si>
    <t>Salle de réunion / formation</t>
  </si>
  <si>
    <t>usage habituel</t>
  </si>
  <si>
    <t>Restauration</t>
  </si>
  <si>
    <t>Longueur de la pièce</t>
  </si>
  <si>
    <t>L =</t>
  </si>
  <si>
    <t>m</t>
  </si>
  <si>
    <t>largeur de la pièce</t>
  </si>
  <si>
    <t>l =</t>
  </si>
  <si>
    <t>Hauteur sous plafond</t>
  </si>
  <si>
    <t>h =</t>
  </si>
  <si>
    <t>calcul du volume total</t>
  </si>
  <si>
    <t>V =</t>
  </si>
  <si>
    <t>m3</t>
  </si>
  <si>
    <t>Nombre de personnes occupant les lieux</t>
  </si>
  <si>
    <t>Pers</t>
  </si>
  <si>
    <t>Nb m² par personne</t>
  </si>
  <si>
    <t>m²/pers</t>
  </si>
  <si>
    <t>Définition des surfaces</t>
  </si>
  <si>
    <t>Mur</t>
  </si>
  <si>
    <t>M²</t>
  </si>
  <si>
    <t>Sol</t>
  </si>
  <si>
    <t>Plaque de plâtre (BA13)</t>
  </si>
  <si>
    <t>Moquette</t>
  </si>
  <si>
    <t>carrelage</t>
  </si>
  <si>
    <t>revêtement plastique</t>
  </si>
  <si>
    <t>Cloison en tôle</t>
  </si>
  <si>
    <t>Parquet</t>
  </si>
  <si>
    <t>Cloison mélaminé</t>
  </si>
  <si>
    <t>Plafond</t>
  </si>
  <si>
    <t>Porte</t>
  </si>
  <si>
    <t>porte</t>
  </si>
  <si>
    <t>Surface Totale</t>
  </si>
  <si>
    <t xml:space="preserve">Surface au sol calculée </t>
  </si>
  <si>
    <t xml:space="preserve">Surface mur calculée </t>
  </si>
  <si>
    <t xml:space="preserve">Surface plaf calculée </t>
  </si>
  <si>
    <t>Surface au sol indiquée</t>
  </si>
  <si>
    <t>Surface mur indiquée</t>
  </si>
  <si>
    <t>Surface plaf indiquée</t>
  </si>
  <si>
    <t>Résultat acoustique initial de la pièce</t>
  </si>
  <si>
    <t>Tr moyen (500, 1k, 2k) sans traitement</t>
  </si>
  <si>
    <t xml:space="preserve">OBJECTIF Tr  </t>
  </si>
  <si>
    <t>à atteindre pour avoir un niveau performant</t>
  </si>
  <si>
    <t>Surface</t>
  </si>
  <si>
    <t>Panneau mural</t>
  </si>
  <si>
    <t>Ilot / baffle</t>
  </si>
  <si>
    <t>600*600</t>
  </si>
  <si>
    <t>600*1195</t>
  </si>
  <si>
    <t>1195*1195</t>
  </si>
  <si>
    <t>600*1795</t>
  </si>
  <si>
    <t>600*2390</t>
  </si>
  <si>
    <t>TOTAL Surface</t>
  </si>
  <si>
    <t>Résultat acoustique final de la pièce</t>
  </si>
  <si>
    <t>Tr moyen (500, 1k, 2k) avec traitement</t>
  </si>
  <si>
    <t>Fréquences</t>
  </si>
  <si>
    <t>Tr sans traitement</t>
  </si>
  <si>
    <t>Tr avec traitement</t>
  </si>
  <si>
    <t>Graves</t>
  </si>
  <si>
    <t>Médium</t>
  </si>
  <si>
    <t>Aïgues</t>
  </si>
  <si>
    <t>DIMENSIONS</t>
  </si>
  <si>
    <t>L=</t>
  </si>
  <si>
    <t>nb personne</t>
  </si>
  <si>
    <t>l=</t>
  </si>
  <si>
    <t>h=</t>
  </si>
  <si>
    <t xml:space="preserve">V = </t>
  </si>
  <si>
    <t>Ssol =</t>
  </si>
  <si>
    <t>Smur =</t>
  </si>
  <si>
    <t>PANNEAUX HOYEZ</t>
  </si>
  <si>
    <t xml:space="preserve">fréquences </t>
  </si>
  <si>
    <t>Graphiq</t>
  </si>
  <si>
    <t xml:space="preserve">αs Pavé (70 mm) sans plénum </t>
  </si>
  <si>
    <t>mesure</t>
  </si>
  <si>
    <t>αs Pavé (45mm) avec plénum</t>
  </si>
  <si>
    <t xml:space="preserve">A panneau laine  1,2x1,2 </t>
  </si>
  <si>
    <t xml:space="preserve">A panneau mur  1,2x1,2 </t>
  </si>
  <si>
    <t>PANNEAU ET SURFACE CHOISI</t>
  </si>
  <si>
    <t xml:space="preserve">Surface </t>
  </si>
  <si>
    <t>AUTRE MATERIAUX</t>
  </si>
  <si>
    <r>
      <rPr>
        <sz val="10"/>
        <color indexed="8"/>
        <rFont val="Times New Roman"/>
        <family val="1"/>
      </rPr>
      <t>α</t>
    </r>
    <r>
      <rPr>
        <sz val="10"/>
        <color indexed="8"/>
        <rFont val="Times New Roman"/>
        <family val="2"/>
      </rPr>
      <t>w</t>
    </r>
  </si>
  <si>
    <t>moquette 3 mm</t>
  </si>
  <si>
    <t>Carrelage</t>
  </si>
  <si>
    <t>lino by Unifloor</t>
  </si>
  <si>
    <t>BA13 doublage / cloison</t>
  </si>
  <si>
    <t>Vitrage</t>
  </si>
  <si>
    <t>Béton /mur maçonné</t>
  </si>
  <si>
    <t>Cloion en tôle</t>
  </si>
  <si>
    <t>Mélaminé - cloison alvéolaire</t>
  </si>
  <si>
    <t>Dalle plafond Sahara (Armstrong)</t>
  </si>
  <si>
    <t xml:space="preserve"> A Siège plastic</t>
  </si>
  <si>
    <t>AIRE TOTALE  ET Tr</t>
  </si>
  <si>
    <t xml:space="preserve">Matériaux \fréquences </t>
  </si>
  <si>
    <t>A moquette 3 mm</t>
  </si>
  <si>
    <t>A Carrelage</t>
  </si>
  <si>
    <t>A lino by Unifloor</t>
  </si>
  <si>
    <t>A Parquet</t>
  </si>
  <si>
    <t>A BA13</t>
  </si>
  <si>
    <t>A vitrage</t>
  </si>
  <si>
    <t>A béton / mur maçonné</t>
  </si>
  <si>
    <t>A Cloion en tôle</t>
  </si>
  <si>
    <t>A Mélaminé - cloison alvéolaire</t>
  </si>
  <si>
    <t>A porte</t>
  </si>
  <si>
    <t>A dalle Sahara (Armstrong)</t>
  </si>
  <si>
    <t>A total Siège</t>
  </si>
  <si>
    <t xml:space="preserve">A total </t>
  </si>
  <si>
    <t>A Panneaux Hoyez</t>
  </si>
  <si>
    <t>A total avec traitement</t>
  </si>
  <si>
    <t>somme de kit panneaux muraux</t>
  </si>
  <si>
    <t>Arrondi Sup</t>
  </si>
  <si>
    <t>Reste</t>
  </si>
  <si>
    <t>Pour Répartition</t>
  </si>
  <si>
    <t>LOCAL</t>
  </si>
  <si>
    <t>Bureau individuel</t>
  </si>
  <si>
    <t>Bureaux collectifs</t>
  </si>
  <si>
    <t>Espace ouvert</t>
  </si>
  <si>
    <t>Restaurant / cafétéria</t>
  </si>
  <si>
    <t>USAGE</t>
  </si>
  <si>
    <t>Réunion / formation</t>
  </si>
  <si>
    <t>travail individuel</t>
  </si>
  <si>
    <t>travail collectif</t>
  </si>
  <si>
    <t>téléphonique</t>
  </si>
  <si>
    <t>400*1195</t>
  </si>
  <si>
    <t>1195*1795</t>
  </si>
  <si>
    <t>1195*2390</t>
  </si>
  <si>
    <t xml:space="preserve">Ecran acoustique </t>
  </si>
  <si>
    <t>Totem</t>
  </si>
  <si>
    <t>1100*390</t>
  </si>
  <si>
    <t>2000*390</t>
  </si>
  <si>
    <t xml:space="preserve">A Cube 0,5x0,5 </t>
  </si>
  <si>
    <t>A Cube 0,31x0,31</t>
  </si>
  <si>
    <t>A Totem 1,1x0,39</t>
  </si>
  <si>
    <t>A Totem 2x0,39</t>
  </si>
  <si>
    <t>A Ecran acoustique 1,195x1,795</t>
  </si>
  <si>
    <t>A Ecran acoustique 600x1,795</t>
  </si>
  <si>
    <t>Cube</t>
  </si>
  <si>
    <t>310*310</t>
  </si>
  <si>
    <t>500*500</t>
  </si>
  <si>
    <t>495*1500</t>
  </si>
  <si>
    <t>495*1700</t>
  </si>
  <si>
    <t xml:space="preserve">Calcul Estimatif du temps de réverbération </t>
  </si>
  <si>
    <t>Nom du projet</t>
  </si>
  <si>
    <t>Vitrage / cloison vitrée</t>
  </si>
  <si>
    <t>Mur maçonné (avec enduit)</t>
  </si>
  <si>
    <t>Plaque de plâtre BA13</t>
  </si>
  <si>
    <t>Dalle plafond &amp;w=0,6</t>
  </si>
  <si>
    <t>300*1195</t>
  </si>
  <si>
    <t>300*1795</t>
  </si>
  <si>
    <t>300*2390</t>
  </si>
  <si>
    <t>2000*1000</t>
  </si>
  <si>
    <t>2000*1200</t>
  </si>
  <si>
    <t>Dalle Pavé plafond</t>
  </si>
  <si>
    <t>A Dalle 600x600 avec plénum</t>
  </si>
  <si>
    <t>A Pavé 600x600 avec plénum</t>
  </si>
  <si>
    <t>A Clois. acoustique 1700x1200</t>
  </si>
  <si>
    <t>A Clois. acoustique vsa 1500x1200</t>
  </si>
  <si>
    <t>Cloionnettes pleines</t>
  </si>
  <si>
    <t>Cloionnettes VSA</t>
  </si>
  <si>
    <t xml:space="preserve">TOTAL des Produits Acoustiques  </t>
  </si>
  <si>
    <t>Vérification cohérence des données</t>
  </si>
  <si>
    <t xml:space="preserve">Choix des Solutions Acoustiques </t>
  </si>
  <si>
    <t>PLEIN</t>
  </si>
  <si>
    <t xml:space="preserve">VSA    </t>
  </si>
  <si>
    <t>Fixé</t>
  </si>
  <si>
    <t>600*1200</t>
  </si>
  <si>
    <t>diam 600</t>
  </si>
  <si>
    <t>diam 800</t>
  </si>
  <si>
    <t>diam 1200</t>
  </si>
  <si>
    <t xml:space="preserve"> Surf. d'absorbant acoustique / Surf. Sol</t>
  </si>
  <si>
    <t>TOTEM LUGN</t>
  </si>
  <si>
    <t>780*780</t>
  </si>
  <si>
    <t>1160*1600</t>
  </si>
  <si>
    <t>580*1160</t>
  </si>
  <si>
    <t>800*1600</t>
  </si>
  <si>
    <t>900*1160</t>
  </si>
  <si>
    <t>1160*1160</t>
  </si>
  <si>
    <t>A tableau Quieto 1,16 x 1,16</t>
  </si>
  <si>
    <t>A tableau Quieto 1,16 x 1,16 mur</t>
  </si>
  <si>
    <t>A Rond Lugn 1200</t>
  </si>
  <si>
    <t>Ilot / baffle QUIETO</t>
  </si>
  <si>
    <t>Panneau mural QUIETO</t>
  </si>
  <si>
    <t>Panneau Rond LUGN</t>
  </si>
  <si>
    <t>Panneau Triangle LUGN mural</t>
  </si>
  <si>
    <t>Panneau Triangle LUGN suspendu</t>
  </si>
  <si>
    <t>D</t>
  </si>
  <si>
    <t>P</t>
  </si>
  <si>
    <t>SITUATION CORRIGEE ACOUSTIQUEMENT</t>
  </si>
  <si>
    <t>SITUATION INITIALE</t>
  </si>
  <si>
    <t xml:space="preserve">Smart Panel 1300 x 1000 </t>
  </si>
  <si>
    <t>Smart Panel 1300 x 1400</t>
  </si>
  <si>
    <t>Smart Panel 1300 x 1600</t>
  </si>
  <si>
    <t>Smart Panel 1300 x 1800</t>
  </si>
  <si>
    <t>Smart Panel 1300 x 2000</t>
  </si>
  <si>
    <t>Smart Panel</t>
  </si>
  <si>
    <t>1000*1300</t>
  </si>
  <si>
    <t>1400*1300</t>
  </si>
  <si>
    <t>1600*1300</t>
  </si>
  <si>
    <t>1800*1300</t>
  </si>
  <si>
    <t>2000*1300</t>
  </si>
  <si>
    <t xml:space="preserve">Surfaces de la pièce </t>
  </si>
  <si>
    <t>Mur en M²</t>
  </si>
  <si>
    <t>Sol en M²</t>
  </si>
  <si>
    <t>Plafond en M²</t>
  </si>
  <si>
    <t>Porte en M²</t>
  </si>
  <si>
    <t>495*600</t>
  </si>
  <si>
    <t>Côté 310</t>
  </si>
  <si>
    <t>Côté 500</t>
  </si>
  <si>
    <t>Côté 1195</t>
  </si>
  <si>
    <t>760*760</t>
  </si>
  <si>
    <t>560*1140</t>
  </si>
  <si>
    <t>880*1140</t>
  </si>
  <si>
    <t>1140*1140</t>
  </si>
  <si>
    <t>500*1600</t>
  </si>
  <si>
    <t>375*1600</t>
  </si>
  <si>
    <t>1120*485</t>
  </si>
  <si>
    <t>Kit QUIETOstick</t>
  </si>
  <si>
    <t>Dos d'armoire QUIETO</t>
  </si>
  <si>
    <t>DUO 360</t>
  </si>
  <si>
    <t>Béton</t>
  </si>
  <si>
    <t xml:space="preserve">Métallique </t>
  </si>
  <si>
    <t xml:space="preserve">Bois </t>
  </si>
  <si>
    <t>Côté 600</t>
  </si>
  <si>
    <t>A Quietostick 1120 x 485</t>
  </si>
  <si>
    <t>Duo 360</t>
  </si>
  <si>
    <t>375*1600*2</t>
  </si>
  <si>
    <t>500*1600*2</t>
  </si>
  <si>
    <t>A duo 360 375 x 1600 x 2</t>
  </si>
  <si>
    <t>A duo 360 500 x 1600 x 2</t>
  </si>
  <si>
    <t>DALLE</t>
  </si>
  <si>
    <t>PAVE</t>
  </si>
  <si>
    <t>470*700</t>
  </si>
  <si>
    <t>470*800</t>
  </si>
  <si>
    <t>470*1100</t>
  </si>
  <si>
    <t>470*1300</t>
  </si>
  <si>
    <t>470*1500</t>
  </si>
  <si>
    <t>470*1700</t>
  </si>
  <si>
    <t>580*700</t>
  </si>
  <si>
    <t>580*800</t>
  </si>
  <si>
    <t>580*1100</t>
  </si>
  <si>
    <t>580*1300</t>
  </si>
  <si>
    <t>580*1500</t>
  </si>
  <si>
    <t>580*1700</t>
  </si>
  <si>
    <t xml:space="preserve"> QUIETO</t>
  </si>
  <si>
    <t>LUGN ROND</t>
  </si>
  <si>
    <t>LUGN CUBE</t>
  </si>
  <si>
    <t>LUGN TOTEM</t>
  </si>
  <si>
    <t>LUGN DUO 360</t>
  </si>
  <si>
    <t>LUGN TRIANGLE</t>
  </si>
  <si>
    <t>LUGN RECTANGLE</t>
  </si>
  <si>
    <t>QUIETO TABLEAU</t>
  </si>
  <si>
    <t>ALUSCREEN CLOISONNETTE</t>
  </si>
  <si>
    <t>KINÔ SEPARATEUR BUR.</t>
  </si>
  <si>
    <t>KINÔ RIDEAU</t>
  </si>
  <si>
    <t>KINÔ ECRAN</t>
  </si>
  <si>
    <t>1 &amp; 2</t>
  </si>
  <si>
    <t>395* 700</t>
  </si>
  <si>
    <t>395*1166</t>
  </si>
  <si>
    <t>395*1366</t>
  </si>
  <si>
    <t>395*1566</t>
  </si>
  <si>
    <t xml:space="preserve">495*700 </t>
  </si>
  <si>
    <t>495*1166</t>
  </si>
  <si>
    <t>495*1366</t>
  </si>
  <si>
    <t>495*1566</t>
  </si>
  <si>
    <t>3*375*1180</t>
  </si>
  <si>
    <t>1180*1800</t>
  </si>
  <si>
    <t>800*1500</t>
  </si>
  <si>
    <t>Usage habituel</t>
  </si>
  <si>
    <t>Sépar. Bureau Aluscreen</t>
  </si>
  <si>
    <t>A19-26079516-bis-10 idem -9</t>
  </si>
  <si>
    <t xml:space="preserve">UNIVERS ALUSCREEN </t>
  </si>
  <si>
    <t xml:space="preserve">CLOISONNETTE </t>
  </si>
  <si>
    <t>UNIVERS LUGN</t>
  </si>
  <si>
    <t xml:space="preserve">PANNEAU RECTANGLE </t>
  </si>
  <si>
    <t xml:space="preserve">PANNEAU TRIANGLE </t>
  </si>
  <si>
    <t xml:space="preserve">PANNEAU ROND  </t>
  </si>
  <si>
    <t xml:space="preserve">CUBE </t>
  </si>
  <si>
    <t xml:space="preserve">ECRAN </t>
  </si>
  <si>
    <t xml:space="preserve">TABLEAU </t>
  </si>
  <si>
    <t xml:space="preserve">DALLE PLAFOND </t>
  </si>
  <si>
    <t xml:space="preserve">PAVE PLAFOND </t>
  </si>
  <si>
    <t>UNIVERS QUIETO</t>
  </si>
  <si>
    <t xml:space="preserve">RIDEAU </t>
  </si>
  <si>
    <t>UNIVERS KINÔ</t>
  </si>
  <si>
    <t>Panneau horizontale kino 24 mm à 330 mm du sol (1300*800*24)</t>
  </si>
  <si>
    <t>AAE</t>
  </si>
  <si>
    <t>rideau  pv chinois 9 mm converti pour 12 mm</t>
  </si>
  <si>
    <t>Liste des commerciaux</t>
  </si>
  <si>
    <t>Nom</t>
  </si>
  <si>
    <t>Tel</t>
  </si>
  <si>
    <t>Mail</t>
  </si>
  <si>
    <t>Nom du contact</t>
  </si>
  <si>
    <t>Téléphone</t>
  </si>
  <si>
    <t>Adresse e-mail</t>
  </si>
  <si>
    <t>Arnaud DE COQUEREAUMONT</t>
  </si>
  <si>
    <t xml:space="preserve">Tel : 06.74.16.63.96 </t>
  </si>
  <si>
    <t>adecoquereaumont@hoyez.com</t>
  </si>
  <si>
    <t>Tel : 06 26 33 35 31</t>
  </si>
  <si>
    <t>Christophe SAILLY</t>
  </si>
  <si>
    <t>Tel : 06 77 22 50 41</t>
  </si>
  <si>
    <t>csailly@myo.fr</t>
  </si>
  <si>
    <t>Emmanuel DERVITE</t>
  </si>
  <si>
    <t>Tel : 06 59 34 23 47</t>
  </si>
  <si>
    <t>edervite@hoyez.com</t>
  </si>
  <si>
    <t xml:space="preserve">Estelle CATHERINE </t>
  </si>
  <si>
    <t xml:space="preserve">Tel : 06 37 01 69 41 </t>
  </si>
  <si>
    <t xml:space="preserve">ecatherine@myo.fr </t>
  </si>
  <si>
    <t>Frédérick GREGOIRE</t>
  </si>
  <si>
    <t>Tel : +32 (0)470 481 338</t>
  </si>
  <si>
    <t>fgregoire@hoyez.com</t>
  </si>
  <si>
    <t>Giani LARUE</t>
  </si>
  <si>
    <t>Tel : 06 25 94 24 94</t>
  </si>
  <si>
    <t>glarue@hoyez.com</t>
  </si>
  <si>
    <t>Hugues FUZEWSKI</t>
  </si>
  <si>
    <t>Tel : 06 11 96 49 44</t>
  </si>
  <si>
    <t>hfuzewski@hoyez.com</t>
  </si>
  <si>
    <t>Laurent THERY</t>
  </si>
  <si>
    <t>Tel : 06 09 13 14 85</t>
  </si>
  <si>
    <t>lthery@hoyez.com</t>
  </si>
  <si>
    <t>Laurent VANDENBROUCKE</t>
  </si>
  <si>
    <t xml:space="preserve">Tel : +33 6 26 20 50 54 </t>
  </si>
  <si>
    <t>lvandenbroucke@hoyez.com</t>
  </si>
  <si>
    <t>Sandrine SONNIER</t>
  </si>
  <si>
    <t>Tel : 06 30 90 57 29</t>
  </si>
  <si>
    <t>ssonnier@myo.fr</t>
  </si>
  <si>
    <t>Tel : 06 18 46 48 56</t>
  </si>
  <si>
    <t xml:space="preserve">Votre Contact : </t>
  </si>
  <si>
    <t>Utilité de la correction acoustique</t>
  </si>
  <si>
    <t>Caractérisation de l'absorption acoustique</t>
  </si>
  <si>
    <t xml:space="preserve">Le coefficient d'absorption est un nombre sans unité qui varie de 0 (paroi totalement réfléchissante) à 1 (paroi totalement absorbante). C'est-à-dire : </t>
  </si>
  <si>
    <t xml:space="preserve">Le comportement d'un produit variant suivant la fréquence du son, on mesure son coefficient d’absorption </t>
  </si>
  <si>
    <t xml:space="preserve"> Il est ensuite possible de caractériser l'absorption du produit par un coefficient unique </t>
  </si>
  <si>
    <t xml:space="preserve">Le temps de réverbération, Tr, est la principale caractéristique acoustique d'un espace. Il peut être à la fois prévisible par le calcul et déterminé par la mesure. Il indique le temps (en seconde) que met le son pour décroître de 60 dB et ainsi devenir inaudible. Pour calculer le Tr, on utilise généralement la formule de Sabine : </t>
  </si>
  <si>
    <t>Correction acoustique ou Isolation acoustique ?</t>
  </si>
  <si>
    <t>Les deux principaux domaines d'intervention pour améliorer le confort acoustique dans le bâtiment sont :</t>
  </si>
  <si>
    <t xml:space="preserve">Acoustique d'une salle réverbèrante </t>
  </si>
  <si>
    <t xml:space="preserve">Acoustique d'une salle absorbante </t>
  </si>
  <si>
    <t>1) Énergie incidente ou émission du son
2) Énergie transmise
3) Énergie réfléchie ou réverbérée
4) Énergie absorbée</t>
  </si>
  <si>
    <t xml:space="preserve">Un bon diagnostic de l'inconfort rencontré, est indispensable pour apporter la bonne solution : 
                         -  absorber le son = Correction acoustique 
                         -  ou diminuer la transmission = Isolation Acoustique </t>
  </si>
  <si>
    <t>La plupart des matériaux utilisés dans l’aménagement des locaux, tels que le verre, le plâtre, le bois,... sont des matériaux lisses et rigides, ils sont donc très réverbérant comme illustré ci-dessous.</t>
  </si>
  <si>
    <t>https://www.myo.fr/lefficacite-de-nos-solutions-acoustiques-myo/</t>
  </si>
  <si>
    <t>Parce qu'une video vaut 10 000 mots !</t>
  </si>
  <si>
    <t>L'absorption d'un matériau est caractérisée par son coefficient d'absorption "alpha".       W</t>
  </si>
  <si>
    <t xml:space="preserve">    s (alpha sabine) sur l’ensemble de la gamme de fréquence s’étalant de 100 Hz à 5 000 Hz. Cette mesure détermine alors précisément la performance d'absorption du produit avec 18 valeurs (norme NF EN ISO 354).</t>
  </si>
  <si>
    <t xml:space="preserve">    w (alpha w). C'est la valeur qui permet de comparer les performances entre deux produits différents. </t>
  </si>
  <si>
    <t>L’Aire d’Absorption Equivalente d’un produit AAE ou A</t>
  </si>
  <si>
    <t>Le temps de réverbération Tr</t>
  </si>
  <si>
    <t xml:space="preserve"> Pour traiter ce problème, la recommandation acoustique myO préconise le nombre, la surface et la mise en œuvre de produits absorbants, adaptés à votre espace. Les produits de la marque myO sont certifiés pour absorber les différents sons dans les espaces réverbérants. La correction acoustique va consister à améliorer l'ambiance sonore et donc le confort au sein d'une pièce.</t>
  </si>
  <si>
    <t>A : Aire d’absorption équivalente (m²)
V : Volume de la pièce (m3)</t>
  </si>
  <si>
    <t xml:space="preserve">La recommandation acoustique myO s'appuie sur ces notions et les Procès verbaux de nos produits ou rapport d'essais acoustiques (disponibles sur simple demande), réalisés auprès de laboratoires indépendants certifiés COFRAC. </t>
  </si>
  <si>
    <t>Le temps de réverbération est un indicateur de la qualité acoustique d’un espace. En dehors des salles de concert, un temps de réverbération court, inférieur à 1 seconde, est toujours à privilégier pour tous les espaces. Plus la valeur de Tr est petite, moins la salle est réverbérante, meilleur est le confort.</t>
  </si>
  <si>
    <t>LUGN UNO</t>
  </si>
  <si>
    <t>1200*1600</t>
  </si>
  <si>
    <t>UNO</t>
  </si>
  <si>
    <t>ALUSCREEN SEPAR. BUR.</t>
  </si>
  <si>
    <t>KINÔ TOTEM</t>
  </si>
  <si>
    <t>diam 700</t>
  </si>
  <si>
    <t>diam 960</t>
  </si>
  <si>
    <t>diam 1140</t>
  </si>
  <si>
    <t>1560*400</t>
  </si>
  <si>
    <t xml:space="preserve">  860*400</t>
  </si>
  <si>
    <t>860*400</t>
  </si>
  <si>
    <t>A Totem Kino 1,56 x 0,4</t>
  </si>
  <si>
    <t>Nvx Totem</t>
  </si>
  <si>
    <t>1,23 = conso en nbre de plaque</t>
  </si>
  <si>
    <t>consomation de plaque 1,23 unité de 2440 x 1200</t>
  </si>
  <si>
    <t>PANNEAU</t>
  </si>
  <si>
    <t>TOTEM</t>
  </si>
  <si>
    <t>consomation de plaque 0,77 unité de 2440 x 1200</t>
  </si>
  <si>
    <t>Panneau QUIETO</t>
  </si>
  <si>
    <t xml:space="preserve">Tel : +41 (0)78 214 16 14 </t>
  </si>
  <si>
    <t>vippolito@hoyez.com</t>
  </si>
  <si>
    <t>760*1140</t>
  </si>
  <si>
    <t>1000*1600</t>
  </si>
  <si>
    <t>1000*1800</t>
  </si>
  <si>
    <t>1200*1800</t>
  </si>
  <si>
    <t>KINÔ SUSPENSION</t>
  </si>
  <si>
    <t>Tous modéles</t>
  </si>
  <si>
    <t>SUSPENSION</t>
  </si>
  <si>
    <t xml:space="preserve">Dimension 20 lames de 10 cm x 40 cm </t>
  </si>
  <si>
    <t>800*1610</t>
  </si>
  <si>
    <t>Cylindre / Triangle / Tulipe</t>
  </si>
  <si>
    <t>Isabelle MUSSY</t>
  </si>
  <si>
    <t>imussy@myo.fr</t>
  </si>
  <si>
    <t xml:space="preserve">Eric PELTIER </t>
  </si>
  <si>
    <t xml:space="preserve">Tel : +33 6 31 20 02 17 </t>
  </si>
  <si>
    <t>epeltier@hoyez.com</t>
  </si>
  <si>
    <t>Carine MONCORGÉ</t>
  </si>
  <si>
    <t>Tel : 07 57 76 85 54</t>
  </si>
  <si>
    <t>cmoncorge@hoyez.com</t>
  </si>
  <si>
    <t>Thibaud BOURGEAT</t>
  </si>
  <si>
    <t>tbourgeat@hoyez.com</t>
  </si>
  <si>
    <t>Virginie IPPOLITO</t>
  </si>
  <si>
    <r>
      <t xml:space="preserve">Choix des Solutions Acoustiques  
</t>
    </r>
    <r>
      <rPr>
        <sz val="12"/>
        <rFont val="AktivGrotesk-Bold"/>
        <family val="2"/>
      </rPr>
      <t>(1) avec espace entre le support et le panneau  (2) panneau "collé" au support (sans espace)</t>
    </r>
  </si>
  <si>
    <r>
      <rPr>
        <b/>
        <sz val="11"/>
        <rFont val="Calibri"/>
        <family val="2"/>
        <scheme val="minor"/>
      </rPr>
      <t xml:space="preserve">Qu'est-ce que le son ? </t>
    </r>
    <r>
      <rPr>
        <sz val="11"/>
        <rFont val="Calibri"/>
        <family val="2"/>
        <scheme val="minor"/>
      </rPr>
      <t xml:space="preserve">
Le son découle de vibrations générées par l'air. Il se propage depuis sa source dans toutes les directions en se transformant en ondes acoustiques. En fonction de la nature de la surface des parois, l'énergie de ces ondes acoustiques peut être réfléchie, absorbée ou transmise.
Plus ces vibrations émises dans l'air s'éloignent de leur source initiale, plus elles s'affaiblissent et perdent en intensité. L'intensité du son ou le niveau sonore s'expriime en decibels (dB). Une fréquence élevée émet un son aigu alors qu'une fréquence basse émettra un son plus grave. L'unité de mesure de la fréquence d'un son est quantifiée en Hertz (Hz).</t>
    </r>
  </si>
  <si>
    <r>
      <rPr>
        <sz val="7"/>
        <rFont val="Calibri"/>
        <family val="2"/>
        <scheme val="minor"/>
      </rPr>
      <t xml:space="preserve"> </t>
    </r>
    <r>
      <rPr>
        <b/>
        <sz val="11"/>
        <rFont val="Calibri"/>
        <family val="2"/>
        <scheme val="minor"/>
      </rPr>
      <t>La Correction acoustique</t>
    </r>
    <r>
      <rPr>
        <sz val="11"/>
        <rFont val="Calibri"/>
        <family val="2"/>
        <scheme val="minor"/>
      </rPr>
      <t xml:space="preserve"> : maîtrise et réduit la propagation des sons à l’intérieur d’une même pièce. Elle permet de contrôler le niveau sonore de la pièce en limitant la réverbération des ondes sonores sur les parois (sol, murs et plafond). Flêche n°3 dans le schéma ci-dessus.</t>
    </r>
  </si>
  <si>
    <r>
      <rPr>
        <b/>
        <sz val="11"/>
        <rFont val="Calibri"/>
        <family val="2"/>
        <scheme val="minor"/>
      </rPr>
      <t xml:space="preserve"> L'Isolation acoustique</t>
    </r>
    <r>
      <rPr>
        <sz val="11"/>
        <rFont val="Calibri"/>
        <family val="2"/>
        <scheme val="minor"/>
      </rPr>
      <t xml:space="preserve"> : protége de la transmission du son au travers d'une cloison, d'un plafond ou d'un plancher entre deux pièces.Flêche n°2  dans le schéma ci-dessus.</t>
    </r>
  </si>
  <si>
    <r>
      <t xml:space="preserve">La grande réverbération des locaux entraîne un mauvais confort acoustique qui se traduit par </t>
    </r>
    <r>
      <rPr>
        <b/>
        <sz val="11"/>
        <rFont val="Calibri"/>
        <family val="2"/>
        <scheme val="minor"/>
      </rPr>
      <t>un manque d’intelligibilité</t>
    </r>
    <r>
      <rPr>
        <sz val="11"/>
        <rFont val="Calibri"/>
        <family val="2"/>
        <scheme val="minor"/>
      </rPr>
      <t xml:space="preserve"> dans les salles de réunions, </t>
    </r>
    <r>
      <rPr>
        <b/>
        <sz val="11"/>
        <rFont val="Calibri"/>
        <family val="2"/>
        <scheme val="minor"/>
      </rPr>
      <t xml:space="preserve">une difficulté à se concentrer </t>
    </r>
    <r>
      <rPr>
        <sz val="11"/>
        <rFont val="Calibri"/>
        <family val="2"/>
        <scheme val="minor"/>
      </rPr>
      <t xml:space="preserve">en raison du niveau sonore élevé dans les espaces ouverts, </t>
    </r>
    <r>
      <rPr>
        <b/>
        <sz val="11"/>
        <rFont val="Calibri"/>
        <family val="2"/>
        <scheme val="minor"/>
      </rPr>
      <t>une gêne à la communication</t>
    </r>
    <r>
      <rPr>
        <sz val="11"/>
        <rFont val="Calibri"/>
        <family val="2"/>
        <scheme val="minor"/>
      </rPr>
      <t xml:space="preserve"> comme dans les restaurants. Les conséquences : plus de Fatigue, plus de Stress, plus de Désengagement </t>
    </r>
  </si>
  <si>
    <r>
      <t>Plus     w est élevé, meilleure est la performance du produit</t>
    </r>
    <r>
      <rPr>
        <sz val="11"/>
        <rFont val="Calibri"/>
        <family val="2"/>
        <scheme val="minor"/>
      </rPr>
      <t xml:space="preserve"> (avec au maximum       w=1)</t>
    </r>
  </si>
  <si>
    <r>
      <t>La réverbération d'un local est liée à son volume et à son aire d’absorption équivalente totale.
L’aire d’absorption équivalente totale est égale à la somme des aires d'absorption apportées par chacun des éléments du local (murs, sol, plafond, mobilier). L'aire d'absorption correspond à la quantité d’absorbant apportée par l'élément, elle dépend de sa surface S et de son coefficient d’absorption α</t>
    </r>
    <r>
      <rPr>
        <vertAlign val="subscript"/>
        <sz val="11"/>
        <rFont val="Calibri"/>
        <family val="2"/>
        <scheme val="minor"/>
      </rPr>
      <t>w</t>
    </r>
    <r>
      <rPr>
        <sz val="11"/>
        <rFont val="Calibri"/>
        <family val="2"/>
        <scheme val="minor"/>
      </rPr>
      <t>.</t>
    </r>
  </si>
  <si>
    <r>
      <t>Ainsi, pour obtenir la même quantité d’absorption qu’un produit présentant un coefficient α</t>
    </r>
    <r>
      <rPr>
        <vertAlign val="subscript"/>
        <sz val="11"/>
        <rFont val="Calibri"/>
        <family val="2"/>
        <scheme val="minor"/>
      </rPr>
      <t xml:space="preserve">w  </t>
    </r>
    <r>
      <rPr>
        <sz val="11"/>
        <rFont val="Calibri"/>
        <family val="2"/>
        <scheme val="minor"/>
      </rPr>
      <t>égal à 1, il faudra deux fois plus de surface avec un produit présentant un coefficient α</t>
    </r>
    <r>
      <rPr>
        <vertAlign val="subscript"/>
        <sz val="11"/>
        <rFont val="Calibri"/>
        <family val="2"/>
        <scheme val="minor"/>
      </rPr>
      <t xml:space="preserve">w </t>
    </r>
    <r>
      <rPr>
        <sz val="11"/>
        <rFont val="Calibri"/>
        <family val="2"/>
        <scheme val="minor"/>
      </rPr>
      <t>de 0,5.</t>
    </r>
  </si>
  <si>
    <t xml:space="preserve">SEP DE BUREAU </t>
  </si>
  <si>
    <t>SEP DE BUREAU</t>
  </si>
  <si>
    <r>
      <t xml:space="preserve">A atteindre pour avoir un niveau </t>
    </r>
    <r>
      <rPr>
        <b/>
        <u/>
        <sz val="12"/>
        <color theme="1"/>
        <rFont val="Calibri"/>
        <family val="2"/>
        <scheme val="minor"/>
      </rPr>
      <t>performant</t>
    </r>
  </si>
  <si>
    <r>
      <t xml:space="preserve">A atteindre pour avoir un niveau </t>
    </r>
    <r>
      <rPr>
        <b/>
        <i/>
        <u/>
        <sz val="12"/>
        <color rgb="FF994F43"/>
        <rFont val="Calibri"/>
        <family val="2"/>
      </rPr>
      <t>TRES</t>
    </r>
    <r>
      <rPr>
        <b/>
        <i/>
        <u/>
        <sz val="12"/>
        <color indexed="9"/>
        <rFont val="Calibri"/>
        <family val="2"/>
      </rPr>
      <t xml:space="preserve"> </t>
    </r>
    <r>
      <rPr>
        <b/>
        <i/>
        <u/>
        <sz val="12"/>
        <rFont val="Calibri"/>
        <family val="2"/>
      </rPr>
      <t>performant</t>
    </r>
  </si>
  <si>
    <r>
      <t xml:space="preserve">à atteindre pour avoir un niveau </t>
    </r>
    <r>
      <rPr>
        <b/>
        <i/>
        <sz val="10"/>
        <color rgb="FF994F43"/>
        <rFont val="Calibri"/>
        <family val="2"/>
      </rPr>
      <t>TRES</t>
    </r>
    <r>
      <rPr>
        <i/>
        <sz val="10"/>
        <color indexed="9"/>
        <rFont val="Calibri"/>
        <family val="2"/>
      </rPr>
      <t xml:space="preserve"> </t>
    </r>
    <r>
      <rPr>
        <i/>
        <sz val="10"/>
        <rFont val="Calibri"/>
        <family val="2"/>
      </rPr>
      <t>performant</t>
    </r>
  </si>
  <si>
    <t>KIT QUIETO</t>
  </si>
  <si>
    <t>780*1570</t>
  </si>
  <si>
    <t>1140*1570</t>
  </si>
  <si>
    <t xml:space="preserve">QUIETO PANNEAU </t>
  </si>
  <si>
    <t xml:space="preserve">QUIETOSTICK DOS D'ARMOIRE </t>
  </si>
  <si>
    <t xml:space="preserve">KIT QUIETO </t>
  </si>
  <si>
    <t xml:space="preserve">QUIETO STICK </t>
  </si>
  <si>
    <t>Pavé au sol</t>
  </si>
  <si>
    <t xml:space="preserve">A Pavé 600x600 au sol </t>
  </si>
  <si>
    <t>Panneau QUIETO mural</t>
  </si>
  <si>
    <t>Kit  Quieto</t>
  </si>
  <si>
    <t>1 m2 Petale Plafond</t>
  </si>
  <si>
    <t xml:space="preserve">1 m2 Petale Mur </t>
  </si>
  <si>
    <t xml:space="preserve">1 m2 Mosaic Mur </t>
  </si>
  <si>
    <t xml:space="preserve">1 m2 Eventail Mur </t>
  </si>
  <si>
    <t xml:space="preserve">1 m2 Galaxie Mur </t>
  </si>
  <si>
    <t>1 m2 Galaxie Plafond</t>
  </si>
  <si>
    <t>PETALE</t>
  </si>
  <si>
    <t>GALAXIE</t>
  </si>
  <si>
    <t>MOSAIQUE</t>
  </si>
  <si>
    <t>EVENTAIL</t>
  </si>
  <si>
    <t>800*1590</t>
  </si>
  <si>
    <t>1160*1590</t>
  </si>
  <si>
    <t>1600*800</t>
  </si>
  <si>
    <t>1600*1000</t>
  </si>
  <si>
    <t>1600*1200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</si>
</sst>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0.0"/>
    <numFmt numFmtId="167" formatCode="0.000000"/>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theme="0"/>
      <name val="Calibri"/>
      <family val="2"/>
      <scheme val="minor"/>
    </font>
    <font>
      <sz val="10"/>
      <color theme="1"/>
      <name val="Times New Roman"/>
      <family val="2"/>
    </font>
    <font>
      <sz val="10"/>
      <color theme="1"/>
      <name val="Calibri"/>
      <family val="2"/>
      <scheme val="minor"/>
    </font>
    <font>
      <b/>
      <sz val="10"/>
      <color rgb="FFFF0000"/>
      <name val="Calibri"/>
      <family val="2"/>
      <scheme val="minor"/>
    </font>
    <font>
      <b/>
      <sz val="11"/>
      <color rgb="FFFF0000"/>
      <name val="Calibri"/>
      <family val="2"/>
      <scheme val="minor"/>
    </font>
    <font>
      <b/>
      <sz val="10"/>
      <color theme="1"/>
      <name val="Calibri"/>
      <family val="2"/>
      <scheme val="minor"/>
    </font>
    <font>
      <i/>
      <sz val="11"/>
      <color rgb="FFFF0000"/>
      <name val="Calibri"/>
      <family val="2"/>
      <scheme val="minor"/>
    </font>
    <font>
      <sz val="11"/>
      <name val="Calibri"/>
      <family val="2"/>
      <scheme val="minor"/>
    </font>
    <font>
      <b/>
      <sz val="10"/>
      <color theme="0"/>
      <name val="Calibri"/>
      <family val="2"/>
      <scheme val="minor"/>
    </font>
    <font>
      <sz val="10"/>
      <color theme="0"/>
      <name val="Calibri"/>
      <family val="2"/>
      <scheme val="minor"/>
    </font>
    <font>
      <i/>
      <sz val="10"/>
      <color theme="0"/>
      <name val="Calibri"/>
      <family val="2"/>
      <scheme val="minor"/>
    </font>
    <font>
      <b/>
      <sz val="10"/>
      <name val="Calibri"/>
      <family val="2"/>
      <scheme val="minor"/>
    </font>
    <font>
      <i/>
      <sz val="10"/>
      <name val="Calibri"/>
      <family val="2"/>
      <scheme val="minor"/>
    </font>
    <font>
      <i/>
      <sz val="10"/>
      <color indexed="9"/>
      <name val="Calibri"/>
      <family val="2"/>
    </font>
    <font>
      <i/>
      <sz val="10"/>
      <name val="Calibri"/>
      <family val="2"/>
    </font>
    <font>
      <sz val="9"/>
      <color theme="1"/>
      <name val="Calibri"/>
      <family val="2"/>
      <scheme val="minor"/>
    </font>
    <font>
      <sz val="10"/>
      <color theme="1"/>
      <name val="Times New Roman"/>
      <family val="1"/>
    </font>
    <font>
      <b/>
      <sz val="9"/>
      <color theme="1"/>
      <name val="Arial"/>
      <family val="2"/>
    </font>
    <font>
      <b/>
      <sz val="12"/>
      <color theme="1"/>
      <name val="Garamond"/>
      <family val="1"/>
    </font>
    <font>
      <b/>
      <sz val="10"/>
      <color theme="1"/>
      <name val="Times New Roman"/>
      <family val="1"/>
    </font>
    <font>
      <sz val="11"/>
      <color theme="1"/>
      <name val="Garamond"/>
      <family val="1"/>
    </font>
    <font>
      <sz val="12"/>
      <color theme="1"/>
      <name val="Garamond"/>
      <family val="1"/>
    </font>
    <font>
      <sz val="10"/>
      <color indexed="8"/>
      <name val="Times New Roman"/>
      <family val="1"/>
    </font>
    <font>
      <sz val="10"/>
      <color indexed="8"/>
      <name val="Times New Roman"/>
      <family val="2"/>
    </font>
    <font>
      <sz val="12"/>
      <color theme="1"/>
      <name val="Times New Roman"/>
      <family val="1"/>
    </font>
    <font>
      <sz val="12"/>
      <color theme="1"/>
      <name val="Times New Roman"/>
      <family val="2"/>
    </font>
    <font>
      <sz val="10"/>
      <color theme="0"/>
      <name val="Times New Roman"/>
      <family val="2"/>
    </font>
    <font>
      <sz val="11"/>
      <color rgb="FFFF0000"/>
      <name val="Calibri"/>
      <family val="2"/>
      <scheme val="minor"/>
    </font>
    <font>
      <sz val="10"/>
      <color rgb="FFFF0000"/>
      <name val="Calibri"/>
      <family val="2"/>
      <scheme val="minor"/>
    </font>
    <font>
      <sz val="10"/>
      <color rgb="FFFF0000"/>
      <name val="Times New Roman"/>
      <family val="2"/>
    </font>
    <font>
      <sz val="10"/>
      <name val="Calibri"/>
      <family val="2"/>
      <scheme val="minor"/>
    </font>
    <font>
      <sz val="10"/>
      <name val="Times New Roman"/>
      <family val="2"/>
    </font>
    <font>
      <b/>
      <sz val="12"/>
      <color theme="1"/>
      <name val="Calibri"/>
      <family val="2"/>
      <scheme val="minor"/>
    </font>
    <font>
      <sz val="9"/>
      <name val="Arial"/>
      <family val="2"/>
    </font>
    <font>
      <sz val="10"/>
      <color theme="1"/>
      <name val="Symbol"/>
      <family val="1"/>
      <charset val="2"/>
    </font>
    <font>
      <sz val="11"/>
      <color theme="1"/>
      <name val="Segoe UI Symbol"/>
      <family val="2"/>
    </font>
    <font>
      <sz val="12"/>
      <color theme="1"/>
      <name val="Calibri"/>
      <family val="2"/>
      <scheme val="minor"/>
    </font>
    <font>
      <sz val="12"/>
      <name val="Arial"/>
      <family val="2"/>
    </font>
    <font>
      <sz val="12"/>
      <name val="Calibri"/>
      <family val="2"/>
      <scheme val="minor"/>
    </font>
    <font>
      <b/>
      <sz val="12"/>
      <name val="Calibri"/>
      <family val="2"/>
      <scheme val="minor"/>
    </font>
    <font>
      <i/>
      <sz val="12"/>
      <name val="Calibri"/>
      <family val="2"/>
      <scheme val="minor"/>
    </font>
    <font>
      <b/>
      <sz val="12"/>
      <color rgb="FFFF0000"/>
      <name val="Calibri"/>
      <family val="2"/>
      <scheme val="minor"/>
    </font>
    <font>
      <b/>
      <u/>
      <sz val="12"/>
      <color theme="1"/>
      <name val="Calibri"/>
      <family val="2"/>
      <scheme val="minor"/>
    </font>
    <font>
      <b/>
      <i/>
      <u/>
      <sz val="12"/>
      <color indexed="9"/>
      <name val="Calibri"/>
      <family val="2"/>
    </font>
    <font>
      <b/>
      <i/>
      <u/>
      <sz val="12"/>
      <name val="Calibri"/>
      <family val="2"/>
    </font>
    <font>
      <sz val="10"/>
      <color theme="1"/>
      <name val="Arial"/>
      <family val="2"/>
    </font>
    <font>
      <b/>
      <sz val="11"/>
      <color theme="0"/>
      <name val="Arial"/>
      <family val="2"/>
    </font>
    <font>
      <i/>
      <sz val="8"/>
      <color theme="1"/>
      <name val="Arial"/>
      <family val="2"/>
    </font>
    <font>
      <sz val="11"/>
      <color theme="1"/>
      <name val="Arial"/>
      <family val="2"/>
    </font>
    <font>
      <u/>
      <sz val="10"/>
      <color theme="10"/>
      <name val="Arial"/>
      <family val="2"/>
    </font>
    <font>
      <sz val="11"/>
      <name val="Arial"/>
      <family val="2"/>
    </font>
    <font>
      <u/>
      <sz val="11"/>
      <name val="Arial"/>
      <family val="2"/>
    </font>
    <font>
      <u/>
      <sz val="10"/>
      <color theme="10"/>
      <name val="Calibri"/>
      <family val="2"/>
    </font>
    <font>
      <b/>
      <sz val="11"/>
      <name val="Arial"/>
      <family val="2"/>
    </font>
    <font>
      <sz val="11"/>
      <name val="Arial Narrow"/>
      <family val="2"/>
    </font>
    <font>
      <b/>
      <sz val="12"/>
      <name val="Arial"/>
      <family val="2"/>
    </font>
    <font>
      <sz val="11"/>
      <color rgb="FF333333"/>
      <name val="Arial"/>
      <family val="2"/>
    </font>
    <font>
      <sz val="11"/>
      <color rgb="FFFF0000"/>
      <name val="Garamond"/>
      <family val="1"/>
    </font>
    <font>
      <sz val="12"/>
      <color rgb="FFFF0000"/>
      <name val="Garamond"/>
      <family val="1"/>
    </font>
    <font>
      <i/>
      <sz val="12"/>
      <color theme="0" tint="-4.9989318521683403E-2"/>
      <name val="Calibri"/>
      <family val="2"/>
      <scheme val="minor"/>
    </font>
    <font>
      <sz val="12"/>
      <color theme="0" tint="-4.9989318521683403E-2"/>
      <name val="Calibri"/>
      <family val="2"/>
      <scheme val="minor"/>
    </font>
    <font>
      <b/>
      <sz val="12"/>
      <color theme="0"/>
      <name val="Calibri"/>
      <family val="2"/>
      <scheme val="minor"/>
    </font>
    <font>
      <i/>
      <sz val="12"/>
      <color theme="0"/>
      <name val="Calibri"/>
      <family val="2"/>
      <scheme val="minor"/>
    </font>
    <font>
      <sz val="12"/>
      <color theme="0"/>
      <name val="Calibri"/>
      <family val="2"/>
      <scheme val="minor"/>
    </font>
    <font>
      <b/>
      <sz val="11"/>
      <name val="Calibri"/>
      <family val="2"/>
      <scheme val="minor"/>
    </font>
    <font>
      <sz val="11"/>
      <name val="AktivGrotesk-Bold"/>
      <family val="2"/>
    </font>
    <font>
      <sz val="12"/>
      <name val="AktivGrotesk-Bold"/>
      <family val="2"/>
    </font>
    <font>
      <sz val="11"/>
      <color theme="1"/>
      <name val="AktivGrotesk-Bold"/>
      <family val="2"/>
    </font>
    <font>
      <sz val="16"/>
      <name val="AktivGrotesk-Bold"/>
      <family val="2"/>
    </font>
    <font>
      <sz val="7"/>
      <name val="Calibri"/>
      <family val="2"/>
      <scheme val="minor"/>
    </font>
    <font>
      <b/>
      <i/>
      <sz val="11"/>
      <name val="Calibri"/>
      <family val="2"/>
      <scheme val="minor"/>
    </font>
    <font>
      <u/>
      <sz val="10"/>
      <color theme="10"/>
      <name val="Calibri"/>
      <family val="2"/>
      <scheme val="minor"/>
    </font>
    <font>
      <b/>
      <i/>
      <sz val="15"/>
      <color rgb="FF92D050"/>
      <name val="Calibri"/>
      <family val="2"/>
      <scheme val="minor"/>
    </font>
    <font>
      <b/>
      <u/>
      <sz val="11"/>
      <name val="Calibri"/>
      <family val="2"/>
      <scheme val="minor"/>
    </font>
    <font>
      <b/>
      <u/>
      <sz val="10"/>
      <name val="Calibri"/>
      <family val="2"/>
      <scheme val="minor"/>
    </font>
    <font>
      <vertAlign val="subscript"/>
      <sz val="11"/>
      <name val="Calibri"/>
      <family val="2"/>
      <scheme val="minor"/>
    </font>
    <font>
      <sz val="14"/>
      <name val="AktivGrotesk-Bold"/>
      <family val="2"/>
    </font>
    <font>
      <b/>
      <i/>
      <u/>
      <sz val="12"/>
      <color rgb="FF994F43"/>
      <name val="Calibri"/>
      <family val="2"/>
    </font>
    <font>
      <b/>
      <i/>
      <sz val="10"/>
      <color rgb="FF994F43"/>
      <name val="Calibri"/>
      <family val="2"/>
    </font>
  </fonts>
  <fills count="13">
    <fill>
      <patternFill patternType="none"/>
    </fill>
    <fill>
      <patternFill patternType="gray125"/>
    </fill>
    <fill>
      <patternFill patternType="solid">
        <fgColor rgb="FF92D05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CBC0AD"/>
        <bgColor indexed="64"/>
      </patternFill>
    </fill>
    <fill>
      <patternFill patternType="solid">
        <fgColor rgb="FF4C6F6A"/>
        <bgColor indexed="64"/>
      </patternFill>
    </fill>
    <fill>
      <patternFill patternType="solid">
        <fgColor rgb="FF994F43"/>
        <bgColor indexed="64"/>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auto="1"/>
      </left>
      <right style="thin">
        <color auto="1"/>
      </right>
      <top style="hair">
        <color auto="1"/>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top/>
      <bottom style="hair">
        <color auto="1"/>
      </bottom>
      <diagonal/>
    </border>
    <border>
      <left/>
      <right/>
      <top/>
      <bottom style="dashed">
        <color auto="1"/>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hair">
        <color indexed="64"/>
      </top>
      <bottom/>
      <diagonal/>
    </border>
    <border>
      <left style="thin">
        <color auto="1"/>
      </left>
      <right style="thin">
        <color auto="1"/>
      </right>
      <top/>
      <bottom style="hair">
        <color auto="1"/>
      </bottom>
      <diagonal/>
    </border>
    <border>
      <left style="medium">
        <color auto="1"/>
      </left>
      <right/>
      <top/>
      <bottom/>
      <diagonal/>
    </border>
    <border>
      <left/>
      <right style="medium">
        <color auto="1"/>
      </right>
      <top/>
      <bottom/>
      <diagonal/>
    </border>
    <border diagonalDown="1">
      <left/>
      <right/>
      <top/>
      <bottom/>
      <diagonal style="thin">
        <color auto="1"/>
      </diagonal>
    </border>
    <border diagonalUp="1">
      <left/>
      <right/>
      <top/>
      <bottom/>
      <diagonal style="thin">
        <color auto="1"/>
      </diagonal>
    </border>
    <border>
      <left style="medium">
        <color theme="1"/>
      </left>
      <right style="medium">
        <color theme="1"/>
      </right>
      <top style="medium">
        <color theme="1"/>
      </top>
      <bottom style="medium">
        <color theme="1"/>
      </bottom>
      <diagonal/>
    </border>
    <border>
      <left/>
      <right/>
      <top/>
      <bottom style="medium">
        <color theme="1"/>
      </bottom>
      <diagonal/>
    </border>
    <border>
      <left/>
      <right/>
      <top/>
      <bottom style="medium">
        <color rgb="FF994F43"/>
      </bottom>
      <diagonal/>
    </border>
    <border>
      <left/>
      <right/>
      <top style="medium">
        <color rgb="FF994F43"/>
      </top>
      <bottom style="medium">
        <color rgb="FF994F43"/>
      </bottom>
      <diagonal/>
    </border>
    <border>
      <left style="medium">
        <color rgb="FF994F43"/>
      </left>
      <right/>
      <top/>
      <bottom/>
      <diagonal/>
    </border>
    <border>
      <left/>
      <right style="medium">
        <color rgb="FF994F43"/>
      </right>
      <top/>
      <bottom/>
      <diagonal/>
    </border>
    <border>
      <left/>
      <right style="medium">
        <color rgb="FF4C6F6A"/>
      </right>
      <top/>
      <bottom/>
      <diagonal/>
    </border>
    <border>
      <left style="medium">
        <color rgb="FF4C6F6A"/>
      </left>
      <right/>
      <top style="medium">
        <color rgb="FF4C6F6A"/>
      </top>
      <bottom style="medium">
        <color rgb="FF4C6F6A"/>
      </bottom>
      <diagonal/>
    </border>
    <border>
      <left/>
      <right/>
      <top style="medium">
        <color rgb="FF4C6F6A"/>
      </top>
      <bottom style="medium">
        <color rgb="FF4C6F6A"/>
      </bottom>
      <diagonal/>
    </border>
    <border>
      <left/>
      <right style="medium">
        <color rgb="FF4C6F6A"/>
      </right>
      <top style="medium">
        <color rgb="FF4C6F6A"/>
      </top>
      <bottom style="medium">
        <color rgb="FF4C6F6A"/>
      </bottom>
      <diagonal/>
    </border>
  </borders>
  <cellStyleXfs count="8">
    <xf numFmtId="0" fontId="0" fillId="0" borderId="0"/>
    <xf numFmtId="0" fontId="20" fillId="0" borderId="0"/>
    <xf numFmtId="0" fontId="15" fillId="0" borderId="0"/>
    <xf numFmtId="0" fontId="14" fillId="0" borderId="0"/>
    <xf numFmtId="0" fontId="13" fillId="0" borderId="0"/>
    <xf numFmtId="0" fontId="16" fillId="0" borderId="0"/>
    <xf numFmtId="0" fontId="68" fillId="0" borderId="0" applyNumberFormat="0" applyFill="0" applyBorder="0" applyAlignment="0" applyProtection="0"/>
    <xf numFmtId="0" fontId="71" fillId="0" borderId="0" applyNumberFormat="0" applyFill="0" applyBorder="0" applyAlignment="0" applyProtection="0">
      <alignment vertical="top"/>
      <protection locked="0"/>
    </xf>
  </cellStyleXfs>
  <cellXfs count="581">
    <xf numFmtId="0" fontId="0" fillId="0" borderId="0" xfId="0"/>
    <xf numFmtId="0" fontId="21" fillId="0" borderId="0" xfId="1" applyFont="1"/>
    <xf numFmtId="9" fontId="21" fillId="0" borderId="0" xfId="1" applyNumberFormat="1" applyFont="1" applyAlignment="1">
      <alignment horizontal="center" vertical="center"/>
    </xf>
    <xf numFmtId="0" fontId="21" fillId="0" borderId="0" xfId="1" applyFont="1" applyAlignment="1">
      <alignment horizontal="center" vertical="center"/>
    </xf>
    <xf numFmtId="2" fontId="21" fillId="0" borderId="0" xfId="1" applyNumberFormat="1" applyFont="1" applyAlignment="1">
      <alignment horizontal="center" vertical="center"/>
    </xf>
    <xf numFmtId="0" fontId="15" fillId="0" borderId="0" xfId="1" applyFont="1" applyAlignment="1">
      <alignment horizontal="left" vertical="center"/>
    </xf>
    <xf numFmtId="0" fontId="15" fillId="0" borderId="4" xfId="1" applyFont="1" applyBorder="1" applyAlignment="1">
      <alignment horizontal="left" vertical="center"/>
    </xf>
    <xf numFmtId="0" fontId="15" fillId="0" borderId="4" xfId="1" applyFont="1" applyFill="1" applyBorder="1" applyAlignment="1">
      <alignment horizontal="right" vertical="center"/>
    </xf>
    <xf numFmtId="0" fontId="15" fillId="0" borderId="8" xfId="1" applyFont="1" applyBorder="1" applyAlignment="1">
      <alignment horizontal="left" vertical="center"/>
    </xf>
    <xf numFmtId="0" fontId="15" fillId="0" borderId="8" xfId="1" applyFont="1" applyFill="1" applyBorder="1" applyAlignment="1">
      <alignment horizontal="right" vertical="center"/>
    </xf>
    <xf numFmtId="0" fontId="25" fillId="0" borderId="0" xfId="1" applyFont="1" applyBorder="1" applyAlignment="1">
      <alignment vertical="center"/>
    </xf>
    <xf numFmtId="0" fontId="21" fillId="0" borderId="3" xfId="1" applyFont="1" applyBorder="1" applyAlignment="1">
      <alignment vertical="center"/>
    </xf>
    <xf numFmtId="0" fontId="26" fillId="0" borderId="0" xfId="1" applyFont="1" applyBorder="1" applyAlignment="1">
      <alignment horizontal="right" vertical="center"/>
    </xf>
    <xf numFmtId="0" fontId="21" fillId="0" borderId="0" xfId="1" applyFont="1" applyAlignment="1">
      <alignment horizontal="left" vertical="center"/>
    </xf>
    <xf numFmtId="0" fontId="30" fillId="0" borderId="0" xfId="1" applyFont="1" applyFill="1" applyBorder="1" applyAlignment="1">
      <alignment vertical="center"/>
    </xf>
    <xf numFmtId="0" fontId="31" fillId="0" borderId="0" xfId="1" applyFont="1" applyFill="1" applyBorder="1" applyAlignment="1">
      <alignment vertical="center"/>
    </xf>
    <xf numFmtId="0" fontId="21" fillId="0" borderId="0" xfId="1" applyFont="1" applyAlignment="1">
      <alignment horizontal="right" vertical="center"/>
    </xf>
    <xf numFmtId="0" fontId="31" fillId="0" borderId="0" xfId="1" applyFont="1" applyFill="1" applyBorder="1" applyAlignment="1">
      <alignment horizontal="right" vertical="center"/>
    </xf>
    <xf numFmtId="0" fontId="20" fillId="0" borderId="0" xfId="1"/>
    <xf numFmtId="0" fontId="34" fillId="0" borderId="0" xfId="1" applyFont="1" applyBorder="1" applyAlignment="1">
      <alignment horizontal="center" vertical="center" wrapText="1"/>
    </xf>
    <xf numFmtId="0" fontId="35" fillId="2" borderId="0" xfId="1" applyFont="1" applyFill="1" applyAlignment="1">
      <alignment horizontal="center" vertical="center"/>
    </xf>
    <xf numFmtId="0" fontId="20" fillId="0" borderId="0" xfId="1" applyAlignment="1">
      <alignment horizontal="right"/>
    </xf>
    <xf numFmtId="0" fontId="20" fillId="0" borderId="0" xfId="1" applyAlignment="1">
      <alignment horizontal="left"/>
    </xf>
    <xf numFmtId="0" fontId="20" fillId="0" borderId="0" xfId="1" applyAlignment="1">
      <alignment horizontal="center" vertical="center"/>
    </xf>
    <xf numFmtId="0" fontId="20" fillId="0" borderId="0" xfId="1" applyFill="1" applyAlignment="1">
      <alignment horizontal="right" vertical="center"/>
    </xf>
    <xf numFmtId="0" fontId="20" fillId="0" borderId="0" xfId="1" applyAlignment="1">
      <alignment horizontal="left" vertical="center"/>
    </xf>
    <xf numFmtId="0" fontId="20" fillId="0" borderId="0" xfId="1" applyBorder="1"/>
    <xf numFmtId="0" fontId="36" fillId="0" borderId="0" xfId="1" applyFont="1" applyFill="1" applyBorder="1" applyAlignment="1">
      <alignment horizontal="center" vertical="top" wrapText="1"/>
    </xf>
    <xf numFmtId="0" fontId="20" fillId="0" borderId="0" xfId="1" applyFill="1"/>
    <xf numFmtId="0" fontId="20" fillId="0" borderId="0" xfId="1" applyAlignment="1">
      <alignment horizontal="right" vertical="center"/>
    </xf>
    <xf numFmtId="0" fontId="35" fillId="0" borderId="0" xfId="1" applyFont="1" applyAlignment="1">
      <alignment horizontal="right" vertical="center"/>
    </xf>
    <xf numFmtId="3" fontId="20" fillId="0" borderId="0" xfId="1" applyNumberFormat="1" applyAlignment="1">
      <alignment horizontal="left"/>
    </xf>
    <xf numFmtId="166" fontId="20" fillId="0" borderId="0" xfId="1" applyNumberFormat="1" applyAlignment="1">
      <alignment horizontal="left"/>
    </xf>
    <xf numFmtId="0" fontId="20" fillId="2" borderId="0" xfId="1" applyFill="1" applyAlignment="1">
      <alignment horizontal="center" vertical="center"/>
    </xf>
    <xf numFmtId="0" fontId="20" fillId="0" borderId="0" xfId="1" applyFill="1" applyBorder="1"/>
    <xf numFmtId="0" fontId="37" fillId="0" borderId="18" xfId="2" applyFont="1" applyBorder="1" applyAlignment="1">
      <alignment horizontal="center" vertical="center" wrapText="1"/>
    </xf>
    <xf numFmtId="0" fontId="37" fillId="0" borderId="18" xfId="2" applyFont="1" applyBorder="1" applyAlignment="1">
      <alignment horizontal="center" wrapText="1"/>
    </xf>
    <xf numFmtId="0" fontId="37" fillId="0" borderId="1" xfId="2" applyFont="1" applyBorder="1" applyAlignment="1">
      <alignment horizontal="center" wrapText="1"/>
    </xf>
    <xf numFmtId="0" fontId="38" fillId="0" borderId="19" xfId="1" applyFont="1" applyBorder="1" applyAlignment="1">
      <alignment horizontal="center" vertical="center"/>
    </xf>
    <xf numFmtId="0" fontId="20" fillId="0" borderId="0" xfId="1" applyFill="1" applyBorder="1" applyAlignment="1">
      <alignment horizontal="center" vertical="center"/>
    </xf>
    <xf numFmtId="0" fontId="20" fillId="0" borderId="0" xfId="1" applyFill="1" applyBorder="1" applyAlignment="1">
      <alignment horizontal="center"/>
    </xf>
    <xf numFmtId="2" fontId="39" fillId="0" borderId="18" xfId="1" applyNumberFormat="1" applyFont="1" applyFill="1" applyBorder="1" applyAlignment="1">
      <alignment horizontal="center" vertical="center" wrapText="1"/>
    </xf>
    <xf numFmtId="2" fontId="40" fillId="0" borderId="18" xfId="1" applyNumberFormat="1" applyFont="1" applyFill="1" applyBorder="1" applyAlignment="1">
      <alignment horizontal="center" vertical="center" wrapText="1"/>
    </xf>
    <xf numFmtId="2" fontId="40" fillId="0" borderId="1" xfId="1" applyNumberFormat="1" applyFont="1" applyFill="1" applyBorder="1" applyAlignment="1">
      <alignment horizontal="center" vertical="center" wrapText="1"/>
    </xf>
    <xf numFmtId="2" fontId="40" fillId="0" borderId="19" xfId="1" applyNumberFormat="1" applyFont="1" applyFill="1" applyBorder="1" applyAlignment="1">
      <alignment horizontal="center" vertical="center" wrapText="1"/>
    </xf>
    <xf numFmtId="0" fontId="20" fillId="0" borderId="0" xfId="1" applyFill="1" applyBorder="1" applyAlignment="1"/>
    <xf numFmtId="1" fontId="40" fillId="0" borderId="0" xfId="1" applyNumberFormat="1" applyFont="1" applyFill="1" applyBorder="1" applyAlignment="1">
      <alignment horizontal="center" vertical="center" wrapText="1"/>
    </xf>
    <xf numFmtId="1" fontId="20" fillId="0" borderId="0" xfId="1" applyNumberFormat="1" applyFill="1" applyBorder="1"/>
    <xf numFmtId="0" fontId="20" fillId="0" borderId="0" xfId="1" applyAlignment="1">
      <alignment horizontal="center"/>
    </xf>
    <xf numFmtId="2" fontId="15" fillId="0" borderId="0" xfId="2" applyNumberFormat="1" applyFill="1" applyBorder="1" applyAlignment="1">
      <alignment horizontal="center"/>
    </xf>
    <xf numFmtId="0" fontId="37" fillId="0" borderId="18" xfId="1" applyFont="1" applyBorder="1" applyAlignment="1">
      <alignment horizontal="center" vertical="center" wrapText="1"/>
    </xf>
    <xf numFmtId="1" fontId="37" fillId="0" borderId="18" xfId="1" applyNumberFormat="1" applyFont="1" applyBorder="1" applyAlignment="1">
      <alignment horizontal="center" wrapText="1"/>
    </xf>
    <xf numFmtId="1" fontId="37" fillId="0" borderId="18" xfId="1" applyNumberFormat="1" applyFont="1" applyFill="1" applyBorder="1" applyAlignment="1">
      <alignment horizontal="center" wrapText="1"/>
    </xf>
    <xf numFmtId="0" fontId="35" fillId="0" borderId="18" xfId="1" applyFont="1" applyBorder="1" applyAlignment="1">
      <alignment horizontal="center" vertical="center"/>
    </xf>
    <xf numFmtId="0" fontId="35" fillId="0" borderId="0" xfId="1" applyFont="1" applyBorder="1" applyAlignment="1">
      <alignment horizontal="center" vertical="center"/>
    </xf>
    <xf numFmtId="0" fontId="40" fillId="0" borderId="18" xfId="1" applyFont="1" applyBorder="1" applyAlignment="1">
      <alignment horizontal="justify" wrapText="1"/>
    </xf>
    <xf numFmtId="0" fontId="40" fillId="0" borderId="18" xfId="1" applyFont="1" applyBorder="1" applyAlignment="1">
      <alignment horizontal="center" vertical="center" wrapText="1"/>
    </xf>
    <xf numFmtId="0" fontId="40" fillId="0" borderId="18" xfId="1" applyFont="1" applyFill="1" applyBorder="1" applyAlignment="1">
      <alignment horizontal="center" vertical="center" wrapText="1"/>
    </xf>
    <xf numFmtId="0" fontId="40" fillId="0" borderId="0" xfId="1" applyFont="1" applyFill="1" applyBorder="1" applyAlignment="1">
      <alignment horizontal="center" vertical="center" wrapText="1"/>
    </xf>
    <xf numFmtId="2" fontId="40" fillId="0" borderId="18" xfId="1" applyNumberFormat="1" applyFont="1" applyBorder="1" applyAlignment="1">
      <alignment horizontal="center" vertical="center" wrapText="1"/>
    </xf>
    <xf numFmtId="0" fontId="40" fillId="0" borderId="18" xfId="1" applyFont="1" applyFill="1" applyBorder="1" applyAlignment="1">
      <alignment horizontal="justify" wrapText="1"/>
    </xf>
    <xf numFmtId="0" fontId="40" fillId="0" borderId="18" xfId="1" applyFont="1" applyBorder="1" applyAlignment="1">
      <alignment horizontal="justify" vertical="center" wrapText="1"/>
    </xf>
    <xf numFmtId="0" fontId="40" fillId="0" borderId="18" xfId="1" applyFont="1" applyFill="1" applyBorder="1" applyAlignment="1">
      <alignment horizontal="justify" vertical="center" wrapText="1"/>
    </xf>
    <xf numFmtId="0" fontId="40" fillId="5" borderId="18" xfId="1" applyFont="1" applyFill="1" applyBorder="1" applyAlignment="1">
      <alignment horizontal="center" vertical="center" wrapText="1"/>
    </xf>
    <xf numFmtId="0" fontId="40" fillId="5" borderId="0" xfId="1" applyFont="1" applyFill="1" applyBorder="1" applyAlignment="1">
      <alignment horizontal="center" vertical="center" wrapText="1"/>
    </xf>
    <xf numFmtId="0" fontId="20" fillId="5" borderId="0" xfId="1" applyFill="1" applyBorder="1"/>
    <xf numFmtId="9" fontId="20" fillId="5" borderId="0" xfId="1" applyNumberFormat="1" applyFill="1"/>
    <xf numFmtId="2" fontId="20" fillId="0" borderId="0" xfId="1" applyNumberFormat="1" applyAlignment="1">
      <alignment horizontal="center" vertical="center"/>
    </xf>
    <xf numFmtId="0" fontId="37" fillId="0" borderId="18" xfId="1" applyFont="1" applyBorder="1" applyAlignment="1">
      <alignment horizontal="justify" wrapText="1"/>
    </xf>
    <xf numFmtId="0" fontId="37" fillId="0" borderId="18" xfId="1" applyFont="1" applyBorder="1" applyAlignment="1">
      <alignment horizontal="center" wrapText="1"/>
    </xf>
    <xf numFmtId="0" fontId="37" fillId="0" borderId="18" xfId="1" applyFont="1" applyFill="1" applyBorder="1" applyAlignment="1">
      <alignment horizontal="center" wrapText="1"/>
    </xf>
    <xf numFmtId="0" fontId="40" fillId="0" borderId="18" xfId="1" applyFont="1" applyFill="1" applyBorder="1" applyAlignment="1">
      <alignment horizontal="left" vertical="center" wrapText="1"/>
    </xf>
    <xf numFmtId="2" fontId="40" fillId="0" borderId="0" xfId="1" applyNumberFormat="1" applyFont="1" applyBorder="1" applyAlignment="1">
      <alignment horizontal="center" vertical="center" wrapText="1"/>
    </xf>
    <xf numFmtId="0" fontId="40" fillId="0" borderId="18" xfId="1" applyFont="1" applyBorder="1" applyAlignment="1">
      <alignment horizontal="left" wrapText="1"/>
    </xf>
    <xf numFmtId="0" fontId="40" fillId="0" borderId="20" xfId="1" applyFont="1" applyFill="1" applyBorder="1" applyAlignment="1">
      <alignment horizontal="left" vertical="center" wrapText="1"/>
    </xf>
    <xf numFmtId="2" fontId="40" fillId="0" borderId="20" xfId="1" applyNumberFormat="1" applyFont="1" applyBorder="1" applyAlignment="1">
      <alignment horizontal="center" vertical="center" wrapText="1"/>
    </xf>
    <xf numFmtId="2" fontId="40" fillId="0" borderId="21" xfId="1" applyNumberFormat="1" applyFont="1" applyBorder="1" applyAlignment="1">
      <alignment horizontal="center" vertical="center" wrapText="1"/>
    </xf>
    <xf numFmtId="2" fontId="20" fillId="0" borderId="0" xfId="1" applyNumberFormat="1" applyBorder="1" applyAlignment="1">
      <alignment horizontal="center" vertical="center"/>
    </xf>
    <xf numFmtId="2" fontId="20" fillId="0" borderId="0" xfId="1" applyNumberFormat="1"/>
    <xf numFmtId="2" fontId="20" fillId="0" borderId="0" xfId="1" applyNumberFormat="1" applyFill="1"/>
    <xf numFmtId="0" fontId="43" fillId="0" borderId="0" xfId="1" applyFont="1" applyBorder="1" applyAlignment="1">
      <alignment horizontal="center" vertical="center"/>
    </xf>
    <xf numFmtId="2" fontId="44" fillId="0" borderId="0" xfId="1" applyNumberFormat="1" applyFont="1" applyBorder="1" applyAlignment="1">
      <alignment horizontal="center" vertical="center"/>
    </xf>
    <xf numFmtId="2" fontId="44" fillId="0" borderId="0" xfId="1" applyNumberFormat="1" applyFont="1" applyFill="1" applyBorder="1" applyAlignment="1">
      <alignment horizontal="center" vertical="center"/>
    </xf>
    <xf numFmtId="0" fontId="47" fillId="0" borderId="0" xfId="1" applyFont="1" applyAlignment="1">
      <alignment horizontal="left" vertical="center"/>
    </xf>
    <xf numFmtId="0" fontId="28" fillId="0" borderId="0" xfId="1" applyFont="1" applyAlignment="1">
      <alignment horizontal="left" vertical="center"/>
    </xf>
    <xf numFmtId="0" fontId="20" fillId="0" borderId="0" xfId="1"/>
    <xf numFmtId="0" fontId="20" fillId="0" borderId="0" xfId="1" applyAlignment="1">
      <alignment horizontal="center" vertical="center"/>
    </xf>
    <xf numFmtId="0" fontId="20" fillId="0" borderId="0" xfId="1" applyFill="1" applyAlignment="1">
      <alignment horizontal="center" vertical="center"/>
    </xf>
    <xf numFmtId="0" fontId="26" fillId="0" borderId="0" xfId="1" applyFont="1"/>
    <xf numFmtId="0" fontId="50" fillId="0" borderId="0" xfId="1" applyFont="1"/>
    <xf numFmtId="0" fontId="49" fillId="0" borderId="0" xfId="1" applyFont="1"/>
    <xf numFmtId="0" fontId="30" fillId="0" borderId="22" xfId="1" applyFont="1" applyBorder="1" applyAlignment="1"/>
    <xf numFmtId="0" fontId="49" fillId="0" borderId="8" xfId="1" applyFont="1" applyBorder="1"/>
    <xf numFmtId="0" fontId="49" fillId="0" borderId="8" xfId="1" applyFont="1" applyFill="1" applyBorder="1" applyAlignment="1">
      <alignment horizontal="right" vertical="center"/>
    </xf>
    <xf numFmtId="2" fontId="30" fillId="0" borderId="22" xfId="1" applyNumberFormat="1" applyFont="1" applyBorder="1" applyAlignment="1"/>
    <xf numFmtId="0" fontId="49" fillId="0" borderId="17" xfId="1" applyFont="1" applyBorder="1"/>
    <xf numFmtId="0" fontId="49" fillId="0" borderId="17" xfId="1" applyFont="1" applyFill="1" applyBorder="1" applyAlignment="1">
      <alignment horizontal="right" vertical="center"/>
    </xf>
    <xf numFmtId="0" fontId="49" fillId="0" borderId="0" xfId="1" applyFont="1" applyAlignment="1">
      <alignment horizontal="right"/>
    </xf>
    <xf numFmtId="0" fontId="15" fillId="0" borderId="6" xfId="1" applyFont="1" applyBorder="1" applyAlignment="1">
      <alignment horizontal="left" vertical="center"/>
    </xf>
    <xf numFmtId="0" fontId="15" fillId="0" borderId="5" xfId="1" applyFont="1" applyBorder="1" applyAlignment="1">
      <alignment horizontal="left" vertical="center"/>
    </xf>
    <xf numFmtId="0" fontId="15" fillId="0" borderId="12" xfId="1" applyFont="1" applyBorder="1" applyAlignment="1">
      <alignment horizontal="left" vertical="center"/>
    </xf>
    <xf numFmtId="0" fontId="15" fillId="0" borderId="13" xfId="1" applyFont="1" applyBorder="1" applyAlignment="1">
      <alignment horizontal="left" vertical="center"/>
    </xf>
    <xf numFmtId="0" fontId="15" fillId="0" borderId="10" xfId="1" applyFont="1" applyBorder="1" applyAlignment="1">
      <alignment horizontal="left" vertical="center"/>
    </xf>
    <xf numFmtId="0" fontId="15" fillId="0" borderId="9" xfId="1" applyFont="1" applyBorder="1" applyAlignment="1">
      <alignment horizontal="left" vertical="center"/>
    </xf>
    <xf numFmtId="0" fontId="20" fillId="4" borderId="0" xfId="1" applyFill="1" applyAlignment="1">
      <alignment horizontal="center"/>
    </xf>
    <xf numFmtId="0" fontId="12" fillId="0" borderId="8" xfId="1" applyFont="1" applyBorder="1" applyAlignment="1">
      <alignment horizontal="left" vertical="center"/>
    </xf>
    <xf numFmtId="0" fontId="12" fillId="0" borderId="6" xfId="1" applyFont="1" applyBorder="1" applyAlignment="1">
      <alignment horizontal="left" vertical="center"/>
    </xf>
    <xf numFmtId="0" fontId="15" fillId="0" borderId="24" xfId="1" applyFont="1" applyBorder="1" applyAlignment="1">
      <alignment horizontal="left" vertical="center"/>
    </xf>
    <xf numFmtId="0" fontId="15" fillId="0" borderId="24" xfId="1" applyFont="1" applyFill="1" applyBorder="1" applyAlignment="1">
      <alignment horizontal="right" vertical="center"/>
    </xf>
    <xf numFmtId="0" fontId="20" fillId="0" borderId="0" xfId="1" applyAlignment="1"/>
    <xf numFmtId="0" fontId="20" fillId="0" borderId="0" xfId="1" applyFill="1" applyAlignment="1"/>
    <xf numFmtId="167" fontId="20" fillId="0" borderId="0" xfId="1" applyNumberFormat="1" applyAlignment="1">
      <alignment horizontal="center" vertical="center"/>
    </xf>
    <xf numFmtId="2" fontId="40" fillId="5" borderId="18" xfId="1" applyNumberFormat="1" applyFont="1" applyFill="1" applyBorder="1" applyAlignment="1">
      <alignment horizontal="center" vertical="center" wrapText="1"/>
    </xf>
    <xf numFmtId="0" fontId="20" fillId="5" borderId="18" xfId="1" applyFill="1" applyBorder="1"/>
    <xf numFmtId="0" fontId="21" fillId="0" borderId="0" xfId="1" applyFont="1" applyFill="1" applyBorder="1" applyAlignment="1">
      <alignment horizontal="center" vertical="center"/>
    </xf>
    <xf numFmtId="0" fontId="21" fillId="0" borderId="0" xfId="1" applyFont="1" applyAlignment="1">
      <alignment vertical="center"/>
    </xf>
    <xf numFmtId="0" fontId="21" fillId="0" borderId="0" xfId="1" applyFont="1" applyBorder="1" applyAlignment="1">
      <alignment vertical="center"/>
    </xf>
    <xf numFmtId="0" fontId="20" fillId="4" borderId="0" xfId="1" applyFill="1" applyAlignment="1">
      <alignment horizontal="left"/>
    </xf>
    <xf numFmtId="0" fontId="20" fillId="0" borderId="0" xfId="1" applyAlignment="1">
      <alignment vertical="center"/>
    </xf>
    <xf numFmtId="0" fontId="15" fillId="0" borderId="0" xfId="1" applyFont="1" applyAlignment="1">
      <alignment vertical="center"/>
    </xf>
    <xf numFmtId="0" fontId="24" fillId="0" borderId="0" xfId="1" applyFont="1" applyAlignment="1">
      <alignment vertical="center"/>
    </xf>
    <xf numFmtId="0" fontId="0" fillId="0" borderId="0" xfId="0" applyBorder="1" applyAlignment="1" applyProtection="1">
      <alignment vertical="center"/>
      <protection locked="0"/>
    </xf>
    <xf numFmtId="0" fontId="15" fillId="0" borderId="0" xfId="1" applyFont="1" applyAlignment="1">
      <alignment horizontal="right" vertical="center"/>
    </xf>
    <xf numFmtId="0" fontId="18" fillId="0" borderId="0" xfId="1" applyFont="1" applyFill="1" applyAlignment="1">
      <alignment vertical="center"/>
    </xf>
    <xf numFmtId="0" fontId="15" fillId="0" borderId="0" xfId="1" applyFont="1" applyFill="1" applyAlignment="1">
      <alignment horizontal="right" vertical="center"/>
    </xf>
    <xf numFmtId="0" fontId="15" fillId="0" borderId="5" xfId="1" applyFont="1" applyBorder="1" applyAlignment="1">
      <alignment vertical="center"/>
    </xf>
    <xf numFmtId="0" fontId="15" fillId="0" borderId="7" xfId="1" applyFont="1" applyBorder="1" applyAlignment="1">
      <alignment vertical="center"/>
    </xf>
    <xf numFmtId="0" fontId="15" fillId="0" borderId="9" xfId="1" applyFont="1" applyBorder="1" applyAlignment="1">
      <alignment vertical="center"/>
    </xf>
    <xf numFmtId="0" fontId="15" fillId="0" borderId="11" xfId="1" applyFont="1" applyBorder="1" applyAlignment="1">
      <alignment vertical="center"/>
    </xf>
    <xf numFmtId="0" fontId="15" fillId="0" borderId="13" xfId="1" applyFont="1" applyBorder="1" applyAlignment="1">
      <alignment vertical="center"/>
    </xf>
    <xf numFmtId="0" fontId="15" fillId="0" borderId="14" xfId="1" applyFont="1" applyBorder="1" applyAlignment="1">
      <alignment vertical="center"/>
    </xf>
    <xf numFmtId="0" fontId="28" fillId="0" borderId="0" xfId="1" applyFont="1" applyAlignment="1">
      <alignment vertical="center"/>
    </xf>
    <xf numFmtId="0" fontId="47" fillId="0" borderId="0" xfId="1" applyFont="1" applyAlignment="1">
      <alignment vertical="center"/>
    </xf>
    <xf numFmtId="0" fontId="48" fillId="0" borderId="0" xfId="1" applyFont="1" applyAlignment="1">
      <alignment vertical="center"/>
    </xf>
    <xf numFmtId="164" fontId="21" fillId="0" borderId="0" xfId="1" applyNumberFormat="1" applyFont="1" applyAlignment="1">
      <alignment vertical="center"/>
    </xf>
    <xf numFmtId="0" fontId="51" fillId="0" borderId="0" xfId="1" applyFont="1" applyAlignment="1">
      <alignment vertical="center"/>
    </xf>
    <xf numFmtId="0" fontId="46" fillId="0" borderId="0" xfId="1" applyFont="1" applyAlignment="1">
      <alignment vertical="center"/>
    </xf>
    <xf numFmtId="0" fontId="19" fillId="0" borderId="0" xfId="1" applyFont="1" applyAlignment="1">
      <alignment vertical="center"/>
    </xf>
    <xf numFmtId="0" fontId="21" fillId="0" borderId="0" xfId="1" applyFont="1" applyFill="1" applyBorder="1" applyAlignment="1">
      <alignment vertical="center"/>
    </xf>
    <xf numFmtId="0" fontId="21" fillId="0" borderId="0" xfId="1" applyFont="1" applyFill="1" applyBorder="1" applyAlignment="1">
      <alignment horizontal="centerContinuous" vertical="center"/>
    </xf>
    <xf numFmtId="0" fontId="28" fillId="0" borderId="0" xfId="1" applyFont="1" applyAlignment="1">
      <alignment horizontal="right" vertical="center"/>
    </xf>
    <xf numFmtId="0" fontId="45" fillId="0" borderId="0" xfId="1" applyFont="1" applyAlignment="1">
      <alignment horizontal="right" vertical="center"/>
    </xf>
    <xf numFmtId="0" fontId="45" fillId="0" borderId="0" xfId="1" applyFont="1" applyAlignment="1">
      <alignment vertical="center"/>
    </xf>
    <xf numFmtId="0" fontId="21" fillId="0" borderId="2" xfId="1" applyFont="1" applyBorder="1" applyAlignment="1">
      <alignment horizontal="left" vertical="center"/>
    </xf>
    <xf numFmtId="0" fontId="21" fillId="0" borderId="3" xfId="1" applyFont="1" applyBorder="1" applyAlignment="1">
      <alignment horizontal="left" vertical="center"/>
    </xf>
    <xf numFmtId="0" fontId="22" fillId="0" borderId="0" xfId="1" applyFont="1"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21" fillId="0" borderId="25" xfId="1" applyFont="1" applyFill="1" applyBorder="1" applyAlignment="1">
      <alignment horizontal="left" vertical="center"/>
    </xf>
    <xf numFmtId="0" fontId="21" fillId="0" borderId="25" xfId="1" applyFont="1" applyFill="1" applyBorder="1" applyAlignment="1">
      <alignment vertical="center"/>
    </xf>
    <xf numFmtId="0" fontId="21" fillId="0" borderId="0" xfId="1" applyFont="1" applyAlignment="1">
      <alignment horizontal="left" vertical="center"/>
    </xf>
    <xf numFmtId="0" fontId="21" fillId="0" borderId="0" xfId="1" applyFont="1" applyFill="1" applyBorder="1" applyAlignment="1">
      <alignment horizontal="center" vertical="center"/>
    </xf>
    <xf numFmtId="0" fontId="21" fillId="0" borderId="0" xfId="1" applyFont="1" applyFill="1" applyBorder="1" applyAlignment="1">
      <alignment horizontal="left" vertical="center"/>
    </xf>
    <xf numFmtId="0" fontId="21" fillId="0" borderId="0" xfId="1" applyFont="1" applyFill="1" applyBorder="1" applyAlignment="1">
      <alignment horizontal="right" vertical="center"/>
    </xf>
    <xf numFmtId="0" fontId="53" fillId="0" borderId="0" xfId="1" applyFont="1" applyAlignment="1">
      <alignment vertical="center"/>
    </xf>
    <xf numFmtId="0" fontId="9" fillId="0" borderId="31" xfId="1" applyFont="1" applyFill="1" applyBorder="1" applyAlignment="1">
      <alignment horizontal="center" vertical="center"/>
    </xf>
    <xf numFmtId="0" fontId="54" fillId="0" borderId="31" xfId="1" applyFont="1" applyFill="1" applyBorder="1" applyAlignment="1">
      <alignment horizontal="center" vertical="center"/>
    </xf>
    <xf numFmtId="0" fontId="9" fillId="0" borderId="0" xfId="1" applyFont="1" applyAlignment="1">
      <alignment vertical="center"/>
    </xf>
    <xf numFmtId="0" fontId="55" fillId="0" borderId="0" xfId="1" applyFont="1" applyAlignment="1">
      <alignment horizontal="left" vertical="center"/>
    </xf>
    <xf numFmtId="0" fontId="55" fillId="0" borderId="0" xfId="1" applyFont="1" applyAlignment="1">
      <alignment vertical="center"/>
    </xf>
    <xf numFmtId="0" fontId="55" fillId="0" borderId="25" xfId="1" applyFont="1" applyFill="1" applyBorder="1" applyAlignment="1">
      <alignment horizontal="left" vertical="center"/>
    </xf>
    <xf numFmtId="0" fontId="56" fillId="0" borderId="0" xfId="0" applyFont="1" applyBorder="1" applyAlignment="1">
      <alignment horizontal="center" vertical="center"/>
    </xf>
    <xf numFmtId="0" fontId="55" fillId="0" borderId="25" xfId="1" applyFont="1" applyFill="1" applyBorder="1" applyAlignment="1">
      <alignment vertical="center"/>
    </xf>
    <xf numFmtId="0" fontId="56" fillId="0" borderId="0" xfId="0" applyFont="1" applyAlignment="1">
      <alignment horizontal="center" vertical="center"/>
    </xf>
    <xf numFmtId="0" fontId="55" fillId="0" borderId="0" xfId="1" applyFont="1" applyAlignment="1">
      <alignment horizontal="right" vertical="center"/>
    </xf>
    <xf numFmtId="0" fontId="56" fillId="0" borderId="0" xfId="0" applyFont="1" applyBorder="1" applyAlignment="1" applyProtection="1">
      <alignment vertical="center"/>
      <protection locked="0"/>
    </xf>
    <xf numFmtId="0" fontId="56" fillId="0" borderId="23" xfId="0" applyFont="1" applyBorder="1" applyAlignment="1" applyProtection="1">
      <alignment vertical="center"/>
      <protection locked="0"/>
    </xf>
    <xf numFmtId="0" fontId="55" fillId="0" borderId="0" xfId="1" applyFont="1" applyFill="1" applyAlignment="1">
      <alignment vertical="center"/>
    </xf>
    <xf numFmtId="0" fontId="51" fillId="0" borderId="0" xfId="1" applyFont="1" applyFill="1" applyAlignment="1">
      <alignment vertical="center"/>
    </xf>
    <xf numFmtId="0" fontId="55" fillId="0" borderId="0" xfId="1" applyFont="1" applyFill="1" applyBorder="1" applyAlignment="1">
      <alignment horizontal="center" vertical="center"/>
    </xf>
    <xf numFmtId="0" fontId="55" fillId="6" borderId="1" xfId="1" applyFont="1" applyFill="1" applyBorder="1" applyAlignment="1">
      <alignment horizontal="left" vertical="center"/>
    </xf>
    <xf numFmtId="0" fontId="55" fillId="6" borderId="2" xfId="1" applyFont="1" applyFill="1" applyBorder="1" applyAlignment="1">
      <alignment horizontal="left" vertical="center"/>
    </xf>
    <xf numFmtId="0" fontId="55" fillId="6" borderId="3" xfId="1" applyFont="1" applyFill="1" applyBorder="1" applyAlignment="1">
      <alignment horizontal="left" vertical="center"/>
    </xf>
    <xf numFmtId="0" fontId="18" fillId="0" borderId="0" xfId="1" applyFont="1" applyFill="1" applyBorder="1" applyAlignment="1">
      <alignment vertical="center"/>
    </xf>
    <xf numFmtId="0" fontId="9" fillId="0" borderId="0" xfId="1" applyFont="1" applyFill="1" applyBorder="1" applyAlignment="1">
      <alignment horizontal="center" vertical="center"/>
    </xf>
    <xf numFmtId="0" fontId="18" fillId="0" borderId="0" xfId="1" applyFont="1" applyFill="1" applyAlignment="1">
      <alignment horizontal="left" vertical="center"/>
    </xf>
    <xf numFmtId="0" fontId="9" fillId="0" borderId="0" xfId="1" applyFont="1" applyFill="1" applyBorder="1" applyAlignment="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9" fillId="0" borderId="0" xfId="1" applyFont="1" applyFill="1" applyBorder="1" applyAlignment="1">
      <alignment horizontal="left" vertical="center"/>
    </xf>
    <xf numFmtId="164" fontId="9" fillId="0" borderId="0" xfId="1" applyNumberFormat="1" applyFont="1" applyFill="1" applyBorder="1" applyAlignment="1">
      <alignment horizontal="right" vertical="center"/>
    </xf>
    <xf numFmtId="0" fontId="9" fillId="0" borderId="0" xfId="1" applyFont="1" applyFill="1" applyBorder="1" applyAlignment="1" applyProtection="1">
      <alignment horizontal="right" vertical="center"/>
    </xf>
    <xf numFmtId="0" fontId="58" fillId="0" borderId="0" xfId="1" applyFont="1" applyFill="1" applyBorder="1" applyAlignment="1">
      <alignment vertical="center"/>
    </xf>
    <xf numFmtId="0" fontId="59" fillId="0" borderId="0" xfId="1" applyFont="1" applyFill="1" applyBorder="1" applyAlignment="1">
      <alignment vertical="center"/>
    </xf>
    <xf numFmtId="0" fontId="59" fillId="0" borderId="0" xfId="1" applyFont="1" applyFill="1" applyBorder="1" applyAlignment="1">
      <alignment horizontal="right" vertical="center"/>
    </xf>
    <xf numFmtId="0" fontId="20" fillId="4" borderId="0" xfId="1" applyFill="1" applyAlignment="1">
      <alignment horizontal="center" vertical="center"/>
    </xf>
    <xf numFmtId="2" fontId="40" fillId="7" borderId="18" xfId="1" applyNumberFormat="1" applyFont="1" applyFill="1" applyBorder="1" applyAlignment="1">
      <alignment horizontal="center" vertical="center" wrapText="1"/>
    </xf>
    <xf numFmtId="0" fontId="20" fillId="7" borderId="0" xfId="1" applyFill="1" applyAlignment="1">
      <alignment horizontal="right" vertical="center"/>
    </xf>
    <xf numFmtId="2" fontId="39" fillId="7" borderId="18" xfId="1" applyNumberFormat="1" applyFont="1" applyFill="1" applyBorder="1" applyAlignment="1">
      <alignment horizontal="center" vertical="center" wrapText="1"/>
    </xf>
    <xf numFmtId="2" fontId="40" fillId="7" borderId="19" xfId="1" applyNumberFormat="1" applyFont="1" applyFill="1" applyBorder="1" applyAlignment="1">
      <alignment horizontal="center" vertical="center" wrapText="1"/>
    </xf>
    <xf numFmtId="2" fontId="39" fillId="0" borderId="0" xfId="1" applyNumberFormat="1" applyFont="1" applyFill="1" applyBorder="1" applyAlignment="1">
      <alignment horizontal="center" vertical="center" wrapText="1"/>
    </xf>
    <xf numFmtId="2" fontId="40" fillId="0" borderId="0" xfId="1" applyNumberFormat="1" applyFont="1" applyFill="1" applyBorder="1" applyAlignment="1">
      <alignment horizontal="center" vertical="center" wrapText="1"/>
    </xf>
    <xf numFmtId="2" fontId="40" fillId="7" borderId="1" xfId="1" applyNumberFormat="1" applyFont="1" applyFill="1" applyBorder="1" applyAlignment="1">
      <alignment horizontal="center" vertical="center" wrapText="1"/>
    </xf>
    <xf numFmtId="0" fontId="20" fillId="3" borderId="0" xfId="1" applyFill="1"/>
    <xf numFmtId="9" fontId="20" fillId="0" borderId="0" xfId="1" applyNumberFormat="1" applyFill="1" applyBorder="1"/>
    <xf numFmtId="0" fontId="15" fillId="0" borderId="20" xfId="1" applyFont="1" applyBorder="1" applyAlignment="1">
      <alignment horizontal="left" vertical="center"/>
    </xf>
    <xf numFmtId="2" fontId="15" fillId="0" borderId="0" xfId="1" applyNumberFormat="1" applyFont="1"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21" fillId="0" borderId="2" xfId="1" applyFont="1" applyBorder="1" applyAlignment="1">
      <alignment vertical="center"/>
    </xf>
    <xf numFmtId="0" fontId="12" fillId="0" borderId="10" xfId="1" applyFont="1" applyBorder="1" applyAlignment="1">
      <alignment horizontal="left" vertical="center"/>
    </xf>
    <xf numFmtId="0" fontId="7" fillId="0" borderId="10" xfId="1" applyFont="1" applyBorder="1" applyAlignment="1">
      <alignment horizontal="left" vertical="center"/>
    </xf>
    <xf numFmtId="0" fontId="21" fillId="0" borderId="0" xfId="1" applyFont="1" applyFill="1" applyBorder="1" applyAlignment="1">
      <alignment horizontal="center" vertical="center"/>
    </xf>
    <xf numFmtId="0" fontId="6" fillId="0" borderId="12" xfId="1" applyFont="1" applyBorder="1" applyAlignment="1">
      <alignment horizontal="left" vertical="center"/>
    </xf>
    <xf numFmtId="164" fontId="21" fillId="0" borderId="0" xfId="1" applyNumberFormat="1" applyFont="1" applyBorder="1" applyAlignment="1" applyProtection="1">
      <alignment horizontal="right" vertical="center"/>
    </xf>
    <xf numFmtId="0" fontId="46" fillId="0" borderId="0" xfId="1" applyFont="1" applyFill="1" applyBorder="1" applyAlignment="1">
      <alignment vertical="center"/>
    </xf>
    <xf numFmtId="0" fontId="47" fillId="0" borderId="0" xfId="1" applyFont="1" applyFill="1" applyBorder="1" applyAlignment="1">
      <alignment vertical="center"/>
    </xf>
    <xf numFmtId="9" fontId="21" fillId="0" borderId="0" xfId="1" applyNumberFormat="1" applyFont="1" applyFill="1" applyBorder="1" applyAlignment="1">
      <alignment vertical="center"/>
    </xf>
    <xf numFmtId="2" fontId="21" fillId="0" borderId="0" xfId="1" applyNumberFormat="1" applyFont="1" applyFill="1" applyBorder="1" applyAlignment="1">
      <alignment vertical="center"/>
    </xf>
    <xf numFmtId="0" fontId="0" fillId="0" borderId="26" xfId="0" applyBorder="1" applyAlignment="1">
      <alignment horizontal="left" vertical="center"/>
    </xf>
    <xf numFmtId="0" fontId="0" fillId="0" borderId="0" xfId="0" applyBorder="1" applyAlignment="1">
      <alignment horizontal="left" vertical="center"/>
    </xf>
    <xf numFmtId="0" fontId="21" fillId="0" borderId="25" xfId="1" applyFont="1" applyBorder="1" applyAlignment="1">
      <alignment vertical="center"/>
    </xf>
    <xf numFmtId="164" fontId="21" fillId="0" borderId="26" xfId="1" applyNumberFormat="1" applyFont="1" applyBorder="1" applyAlignment="1" applyProtection="1">
      <alignment horizontal="right" vertical="center"/>
    </xf>
    <xf numFmtId="0" fontId="21" fillId="0" borderId="36" xfId="1" applyFont="1" applyBorder="1" applyAlignment="1">
      <alignment vertical="center"/>
    </xf>
    <xf numFmtId="0" fontId="21" fillId="0" borderId="20" xfId="1" applyFont="1" applyBorder="1" applyAlignment="1">
      <alignment vertical="center"/>
    </xf>
    <xf numFmtId="164" fontId="21" fillId="0" borderId="20" xfId="1" applyNumberFormat="1" applyFont="1" applyBorder="1" applyAlignment="1" applyProtection="1">
      <alignment horizontal="right" vertical="center"/>
    </xf>
    <xf numFmtId="0" fontId="21" fillId="0" borderId="26" xfId="1" applyFont="1" applyBorder="1" applyAlignment="1">
      <alignment vertical="center"/>
    </xf>
    <xf numFmtId="0" fontId="21" fillId="0" borderId="25" xfId="1" applyFont="1" applyBorder="1" applyAlignment="1">
      <alignment horizontal="left" vertical="center"/>
    </xf>
    <xf numFmtId="0" fontId="21" fillId="0" borderId="37" xfId="1" applyFont="1" applyBorder="1" applyAlignment="1">
      <alignment vertical="center"/>
    </xf>
    <xf numFmtId="0" fontId="21" fillId="0" borderId="36" xfId="1" applyFont="1"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24" fillId="0" borderId="25" xfId="1" applyFont="1" applyBorder="1" applyAlignment="1">
      <alignment horizontal="center" vertical="center"/>
    </xf>
    <xf numFmtId="2" fontId="21" fillId="0" borderId="25" xfId="1" applyNumberFormat="1" applyFont="1" applyBorder="1" applyAlignment="1">
      <alignment horizontal="center" vertical="center"/>
    </xf>
    <xf numFmtId="0" fontId="9" fillId="0" borderId="40" xfId="1" applyFont="1" applyFill="1" applyBorder="1" applyAlignment="1">
      <alignment vertical="center"/>
    </xf>
    <xf numFmtId="0" fontId="21" fillId="0" borderId="40" xfId="1" applyFont="1" applyBorder="1" applyAlignment="1">
      <alignment vertical="center"/>
    </xf>
    <xf numFmtId="0" fontId="20" fillId="5" borderId="0" xfId="1" applyFill="1"/>
    <xf numFmtId="0" fontId="21" fillId="0" borderId="0" xfId="1" applyFont="1" applyFill="1" applyAlignment="1">
      <alignment vertical="center"/>
    </xf>
    <xf numFmtId="0" fontId="20" fillId="0" borderId="0" xfId="1" applyFill="1" applyAlignment="1">
      <alignment vertical="center"/>
    </xf>
    <xf numFmtId="2" fontId="40" fillId="0" borderId="18" xfId="1" applyNumberFormat="1" applyFont="1" applyBorder="1" applyAlignment="1">
      <alignment horizontal="center" vertical="center" wrapText="1"/>
    </xf>
    <xf numFmtId="0" fontId="4" fillId="0" borderId="0" xfId="1" applyFont="1" applyAlignment="1">
      <alignment vertical="center"/>
    </xf>
    <xf numFmtId="0" fontId="4" fillId="0" borderId="0" xfId="1" applyFont="1" applyFill="1" applyBorder="1" applyAlignment="1">
      <alignment vertical="center"/>
    </xf>
    <xf numFmtId="0" fontId="4" fillId="0" borderId="0" xfId="1" applyFont="1" applyFill="1" applyBorder="1" applyAlignment="1">
      <alignment horizontal="center" vertical="center"/>
    </xf>
    <xf numFmtId="0" fontId="4" fillId="0" borderId="0" xfId="1" applyFont="1" applyFill="1" applyBorder="1" applyAlignment="1">
      <alignment horizontal="left" vertical="center"/>
    </xf>
    <xf numFmtId="0" fontId="21" fillId="0" borderId="41" xfId="1" applyFont="1" applyBorder="1" applyAlignment="1">
      <alignment vertical="center"/>
    </xf>
    <xf numFmtId="0" fontId="9" fillId="0" borderId="41" xfId="1" applyFont="1" applyFill="1" applyBorder="1" applyAlignment="1">
      <alignment vertical="center"/>
    </xf>
    <xf numFmtId="0" fontId="66" fillId="6" borderId="0" xfId="0" applyFont="1" applyFill="1" applyAlignment="1">
      <alignment horizontal="center"/>
    </xf>
    <xf numFmtId="0" fontId="67" fillId="0" borderId="0" xfId="0" applyFont="1" applyFill="1" applyBorder="1" applyAlignment="1" applyProtection="1">
      <alignment horizontal="left" vertical="center"/>
      <protection locked="0"/>
    </xf>
    <xf numFmtId="0" fontId="69" fillId="0" borderId="0" xfId="6" applyFont="1" applyFill="1" applyBorder="1" applyAlignment="1" applyProtection="1">
      <alignment horizontal="left" vertical="center"/>
      <protection locked="0"/>
    </xf>
    <xf numFmtId="0" fontId="70" fillId="0" borderId="0" xfId="6" applyFont="1" applyFill="1" applyBorder="1" applyAlignment="1" applyProtection="1">
      <alignment horizontal="left" vertical="center"/>
      <protection locked="0"/>
    </xf>
    <xf numFmtId="0" fontId="68" fillId="0" borderId="0" xfId="6" applyFill="1" applyBorder="1" applyAlignment="1" applyProtection="1">
      <alignment horizontal="left" vertical="center"/>
      <protection locked="0"/>
    </xf>
    <xf numFmtId="0" fontId="67" fillId="0" borderId="0" xfId="0" applyFont="1" applyFill="1" applyBorder="1" applyAlignment="1" applyProtection="1">
      <alignment vertical="center"/>
      <protection locked="0"/>
    </xf>
    <xf numFmtId="0" fontId="68" fillId="0" borderId="0" xfId="6"/>
    <xf numFmtId="0" fontId="67" fillId="0" borderId="0" xfId="0" applyFont="1" applyFill="1" applyBorder="1" applyAlignment="1" applyProtection="1">
      <alignment horizontal="left" vertical="center" wrapText="1"/>
      <protection locked="0"/>
    </xf>
    <xf numFmtId="0" fontId="67" fillId="0" borderId="0" xfId="0" applyFont="1" applyFill="1" applyBorder="1" applyAlignment="1">
      <alignment vertical="center"/>
    </xf>
    <xf numFmtId="0" fontId="67" fillId="0" borderId="0" xfId="0" applyFont="1" applyFill="1" applyBorder="1" applyAlignment="1">
      <alignment horizontal="left" vertical="center"/>
    </xf>
    <xf numFmtId="0" fontId="70" fillId="0" borderId="0" xfId="6" applyFont="1" applyFill="1" applyBorder="1" applyAlignment="1" applyProtection="1">
      <alignment horizontal="left" vertical="center"/>
    </xf>
    <xf numFmtId="0" fontId="69" fillId="0" borderId="0" xfId="1" applyNumberFormat="1" applyFont="1" applyFill="1" applyBorder="1" applyAlignment="1">
      <alignment vertical="center" wrapText="1"/>
    </xf>
    <xf numFmtId="0" fontId="69" fillId="0" borderId="0" xfId="1" applyNumberFormat="1" applyFont="1" applyFill="1" applyBorder="1" applyAlignment="1">
      <alignment horizontal="left" vertical="center" wrapText="1"/>
    </xf>
    <xf numFmtId="49" fontId="70" fillId="0" borderId="0" xfId="7" applyNumberFormat="1" applyFont="1" applyFill="1" applyBorder="1" applyAlignment="1" applyProtection="1">
      <alignment vertical="center" wrapText="1"/>
    </xf>
    <xf numFmtId="49" fontId="70" fillId="0" borderId="0" xfId="6" applyNumberFormat="1" applyFont="1" applyFill="1" applyBorder="1" applyAlignment="1">
      <alignment vertical="center" wrapText="1"/>
    </xf>
    <xf numFmtId="0" fontId="70" fillId="0" borderId="0" xfId="6" applyFont="1" applyFill="1" applyBorder="1" applyAlignment="1" applyProtection="1">
      <alignment vertical="center"/>
      <protection locked="0"/>
    </xf>
    <xf numFmtId="0" fontId="68" fillId="0" borderId="0" xfId="6" applyFill="1" applyBorder="1" applyAlignment="1" applyProtection="1">
      <alignment vertical="center"/>
      <protection locked="0"/>
    </xf>
    <xf numFmtId="0" fontId="21" fillId="0" borderId="0" xfId="1" applyFont="1" applyAlignment="1" applyProtection="1">
      <alignment vertical="center"/>
      <protection locked="0"/>
    </xf>
    <xf numFmtId="0" fontId="15" fillId="0" borderId="0" xfId="1" applyFont="1" applyAlignment="1" applyProtection="1">
      <alignment vertical="center"/>
      <protection locked="0"/>
    </xf>
    <xf numFmtId="0" fontId="12" fillId="0" borderId="0" xfId="1" applyFont="1" applyAlignment="1" applyProtection="1">
      <alignment vertical="center"/>
      <protection locked="0"/>
    </xf>
    <xf numFmtId="0" fontId="24" fillId="0" borderId="0" xfId="1" applyFont="1" applyAlignment="1" applyProtection="1">
      <alignment vertical="center"/>
      <protection locked="0"/>
    </xf>
    <xf numFmtId="0" fontId="15" fillId="0" borderId="0" xfId="1" applyFont="1" applyAlignment="1" applyProtection="1">
      <alignment horizontal="right" vertical="center"/>
      <protection locked="0"/>
    </xf>
    <xf numFmtId="0" fontId="15" fillId="0" borderId="0" xfId="1" applyFont="1" applyFill="1" applyAlignment="1" applyProtection="1">
      <alignment vertical="center"/>
      <protection locked="0"/>
    </xf>
    <xf numFmtId="0" fontId="18" fillId="0" borderId="0" xfId="1" applyFont="1" applyFill="1" applyAlignment="1" applyProtection="1">
      <alignment vertical="center"/>
      <protection locked="0"/>
    </xf>
    <xf numFmtId="2" fontId="11" fillId="0" borderId="0" xfId="1" applyNumberFormat="1" applyFont="1" applyFill="1" applyAlignment="1" applyProtection="1">
      <alignment horizontal="right"/>
      <protection locked="0"/>
    </xf>
    <xf numFmtId="2" fontId="18" fillId="0" borderId="0" xfId="1" applyNumberFormat="1" applyFont="1" applyFill="1" applyAlignment="1" applyProtection="1">
      <alignment horizontal="right"/>
      <protection locked="0"/>
    </xf>
    <xf numFmtId="0" fontId="5" fillId="0" borderId="0" xfId="1" applyFont="1" applyAlignment="1" applyProtection="1">
      <alignment vertical="center"/>
      <protection locked="0"/>
    </xf>
    <xf numFmtId="9" fontId="21" fillId="0" borderId="0" xfId="1" applyNumberFormat="1" applyFont="1" applyAlignment="1" applyProtection="1">
      <alignment horizontal="center" vertical="center"/>
      <protection locked="0"/>
    </xf>
    <xf numFmtId="0" fontId="15" fillId="0" borderId="0" xfId="1" applyFont="1" applyFill="1" applyAlignment="1" applyProtection="1">
      <alignment horizontal="right" vertical="center"/>
      <protection locked="0"/>
    </xf>
    <xf numFmtId="0" fontId="21" fillId="0" borderId="0" xfId="1" applyFont="1" applyAlignment="1" applyProtection="1">
      <alignment horizontal="center" vertical="center"/>
      <protection locked="0"/>
    </xf>
    <xf numFmtId="2" fontId="21" fillId="0" borderId="0" xfId="1" applyNumberFormat="1" applyFont="1" applyAlignment="1" applyProtection="1">
      <alignment horizontal="center" vertical="center"/>
      <protection locked="0"/>
    </xf>
    <xf numFmtId="0" fontId="15" fillId="0" borderId="0" xfId="1" applyFont="1" applyAlignment="1" applyProtection="1">
      <alignment horizontal="left" vertical="center"/>
      <protection locked="0"/>
    </xf>
    <xf numFmtId="0" fontId="55" fillId="0" borderId="0" xfId="1" applyFont="1" applyAlignment="1" applyProtection="1">
      <alignment vertical="center"/>
      <protection locked="0"/>
    </xf>
    <xf numFmtId="0" fontId="55" fillId="0" borderId="23" xfId="1" applyFont="1" applyBorder="1" applyAlignment="1" applyProtection="1">
      <alignment vertical="center"/>
      <protection locked="0"/>
    </xf>
    <xf numFmtId="0" fontId="73" fillId="0" borderId="0" xfId="0" applyFont="1" applyAlignment="1">
      <alignment horizontal="justify" vertical="center"/>
    </xf>
    <xf numFmtId="0" fontId="18" fillId="0" borderId="1" xfId="1" applyFont="1" applyBorder="1" applyAlignment="1" applyProtection="1">
      <alignment vertical="center"/>
      <protection locked="0"/>
    </xf>
    <xf numFmtId="0" fontId="16" fillId="0" borderId="0" xfId="0" applyFont="1"/>
    <xf numFmtId="0" fontId="16" fillId="0" borderId="0" xfId="0" applyFont="1" applyAlignment="1"/>
    <xf numFmtId="0" fontId="48" fillId="9" borderId="0" xfId="1" applyFont="1" applyFill="1"/>
    <xf numFmtId="0" fontId="48" fillId="9" borderId="0" xfId="1" applyFont="1" applyFill="1" applyAlignment="1">
      <alignment horizontal="right" vertical="center"/>
    </xf>
    <xf numFmtId="2" fontId="76" fillId="9" borderId="18" xfId="1" applyNumberFormat="1" applyFont="1" applyFill="1" applyBorder="1" applyAlignment="1">
      <alignment horizontal="center" vertical="center" wrapText="1"/>
    </xf>
    <xf numFmtId="2" fontId="77" fillId="9" borderId="18" xfId="1" applyNumberFormat="1" applyFont="1" applyFill="1" applyBorder="1" applyAlignment="1">
      <alignment horizontal="center" vertical="center" wrapText="1"/>
    </xf>
    <xf numFmtId="2" fontId="77" fillId="9" borderId="1" xfId="1" applyNumberFormat="1" applyFont="1" applyFill="1" applyBorder="1" applyAlignment="1">
      <alignment horizontal="center" vertical="center" wrapText="1"/>
    </xf>
    <xf numFmtId="2" fontId="77" fillId="9" borderId="19" xfId="1" applyNumberFormat="1" applyFont="1" applyFill="1" applyBorder="1" applyAlignment="1">
      <alignment horizontal="center" vertical="center" wrapText="1"/>
    </xf>
    <xf numFmtId="1" fontId="20" fillId="9" borderId="0" xfId="1" applyNumberFormat="1" applyFill="1" applyBorder="1"/>
    <xf numFmtId="0" fontId="20" fillId="9" borderId="0" xfId="1" applyFill="1" applyBorder="1"/>
    <xf numFmtId="0" fontId="20" fillId="9" borderId="0" xfId="1" applyFill="1" applyAlignment="1"/>
    <xf numFmtId="0" fontId="20" fillId="9" borderId="0" xfId="1" applyFill="1" applyAlignment="1">
      <alignment horizontal="center" vertical="center"/>
    </xf>
    <xf numFmtId="2" fontId="20" fillId="9" borderId="0" xfId="1" applyNumberFormat="1" applyFill="1" applyAlignment="1">
      <alignment horizontal="center" vertical="center"/>
    </xf>
    <xf numFmtId="0" fontId="20" fillId="9" borderId="0" xfId="1" applyFill="1"/>
    <xf numFmtId="0" fontId="20" fillId="9" borderId="0" xfId="1" applyFill="1" applyBorder="1" applyAlignment="1">
      <alignment horizontal="center" vertical="center"/>
    </xf>
    <xf numFmtId="2" fontId="40" fillId="0" borderId="18" xfId="1" applyNumberFormat="1" applyFont="1" applyBorder="1" applyAlignment="1">
      <alignment horizontal="center" vertical="center" wrapText="1"/>
    </xf>
    <xf numFmtId="0" fontId="20" fillId="4" borderId="42" xfId="1" applyFill="1" applyBorder="1" applyAlignment="1">
      <alignment horizontal="left"/>
    </xf>
    <xf numFmtId="0" fontId="20" fillId="0" borderId="42" xfId="1" applyBorder="1"/>
    <xf numFmtId="0" fontId="20" fillId="0" borderId="42" xfId="1" applyBorder="1" applyAlignment="1">
      <alignment horizontal="center" vertical="center"/>
    </xf>
    <xf numFmtId="0" fontId="20" fillId="0" borderId="42" xfId="1" applyBorder="1" applyAlignment="1"/>
    <xf numFmtId="0" fontId="20" fillId="0" borderId="42" xfId="1" applyFill="1" applyBorder="1" applyAlignment="1">
      <alignment horizontal="center" vertical="center"/>
    </xf>
    <xf numFmtId="2" fontId="20" fillId="0" borderId="42" xfId="1" applyNumberFormat="1" applyBorder="1" applyAlignment="1">
      <alignment horizontal="center" vertical="center"/>
    </xf>
    <xf numFmtId="0" fontId="20" fillId="4" borderId="43" xfId="1" applyFill="1" applyBorder="1" applyAlignment="1">
      <alignment horizontal="center"/>
    </xf>
    <xf numFmtId="0" fontId="20" fillId="0" borderId="43" xfId="1" applyBorder="1"/>
    <xf numFmtId="0" fontId="20" fillId="0" borderId="43" xfId="1" applyBorder="1" applyAlignment="1">
      <alignment horizontal="center" vertical="center"/>
    </xf>
    <xf numFmtId="0" fontId="20" fillId="0" borderId="43" xfId="1" applyBorder="1" applyAlignment="1"/>
    <xf numFmtId="0" fontId="20" fillId="0" borderId="43" xfId="1" applyFill="1" applyBorder="1" applyAlignment="1">
      <alignment horizontal="center" vertical="center"/>
    </xf>
    <xf numFmtId="2" fontId="20" fillId="0" borderId="0" xfId="1" applyNumberFormat="1" applyFill="1" applyAlignment="1">
      <alignment horizontal="center" vertical="center"/>
    </xf>
    <xf numFmtId="0" fontId="21" fillId="0" borderId="25" xfId="1" quotePrefix="1" applyFont="1" applyFill="1" applyBorder="1" applyAlignment="1">
      <alignment vertical="center"/>
    </xf>
    <xf numFmtId="0" fontId="15" fillId="10" borderId="1" xfId="1" applyFont="1" applyFill="1" applyBorder="1" applyAlignment="1">
      <alignment horizontal="left" vertical="center"/>
    </xf>
    <xf numFmtId="0" fontId="15" fillId="10" borderId="2" xfId="1" applyFont="1" applyFill="1" applyBorder="1" applyAlignment="1">
      <alignment horizontal="left" vertical="center"/>
    </xf>
    <xf numFmtId="0" fontId="15" fillId="10" borderId="3" xfId="1" applyFont="1" applyFill="1" applyBorder="1" applyAlignment="1">
      <alignment horizontal="left" vertical="center"/>
    </xf>
    <xf numFmtId="0" fontId="24" fillId="10" borderId="32" xfId="1" applyFont="1" applyFill="1" applyBorder="1" applyAlignment="1">
      <alignment vertical="center"/>
    </xf>
    <xf numFmtId="0" fontId="21" fillId="10" borderId="33" xfId="1" applyFont="1" applyFill="1" applyBorder="1" applyAlignment="1">
      <alignment horizontal="center" vertical="center"/>
    </xf>
    <xf numFmtId="0" fontId="21" fillId="10" borderId="34" xfId="1" applyFont="1" applyFill="1" applyBorder="1" applyAlignment="1">
      <alignment horizontal="center" vertical="center"/>
    </xf>
    <xf numFmtId="0" fontId="21" fillId="10" borderId="25" xfId="1" applyFont="1" applyFill="1" applyBorder="1" applyAlignment="1">
      <alignment vertical="center"/>
    </xf>
    <xf numFmtId="0" fontId="21" fillId="10" borderId="0" xfId="1" applyFont="1" applyFill="1" applyBorder="1" applyAlignment="1">
      <alignment vertical="center"/>
    </xf>
    <xf numFmtId="0" fontId="21" fillId="10" borderId="35" xfId="1" applyFont="1" applyFill="1" applyBorder="1" applyAlignment="1" applyProtection="1">
      <alignment horizontal="left" vertical="center"/>
    </xf>
    <xf numFmtId="0" fontId="21" fillId="10" borderId="33" xfId="1" applyFont="1" applyFill="1" applyBorder="1" applyAlignment="1">
      <alignment vertical="center"/>
    </xf>
    <xf numFmtId="0" fontId="21" fillId="10" borderId="25" xfId="1" applyFont="1" applyFill="1" applyBorder="1" applyAlignment="1">
      <alignment horizontal="left" vertical="center"/>
    </xf>
    <xf numFmtId="0" fontId="21" fillId="10" borderId="0" xfId="1" applyFont="1" applyFill="1" applyBorder="1" applyAlignment="1">
      <alignment horizontal="center" vertical="center"/>
    </xf>
    <xf numFmtId="0" fontId="21" fillId="10" borderId="25" xfId="1" applyFont="1" applyFill="1" applyBorder="1" applyAlignment="1">
      <alignment horizontal="center" vertical="center"/>
    </xf>
    <xf numFmtId="0" fontId="21" fillId="10" borderId="26" xfId="1" applyFont="1" applyFill="1" applyBorder="1" applyAlignment="1">
      <alignment vertical="center"/>
    </xf>
    <xf numFmtId="0" fontId="24" fillId="10" borderId="25" xfId="1" applyFont="1" applyFill="1" applyBorder="1" applyAlignment="1">
      <alignment horizontal="left" vertical="center"/>
    </xf>
    <xf numFmtId="0" fontId="21" fillId="10" borderId="0" xfId="1" applyFont="1" applyFill="1" applyBorder="1" applyAlignment="1">
      <alignment horizontal="left" vertical="center"/>
    </xf>
    <xf numFmtId="0" fontId="21" fillId="10" borderId="26" xfId="1" applyFont="1" applyFill="1" applyBorder="1" applyAlignment="1">
      <alignment horizontal="left" vertical="center"/>
    </xf>
    <xf numFmtId="0" fontId="24" fillId="10" borderId="25" xfId="1" applyFont="1" applyFill="1" applyBorder="1" applyAlignment="1">
      <alignment vertical="center"/>
    </xf>
    <xf numFmtId="0" fontId="21" fillId="10" borderId="26" xfId="1" applyFont="1" applyFill="1" applyBorder="1" applyAlignment="1" applyProtection="1">
      <alignment vertical="center"/>
    </xf>
    <xf numFmtId="0" fontId="21" fillId="10" borderId="26" xfId="1" applyFont="1" applyFill="1" applyBorder="1" applyAlignment="1">
      <alignment horizontal="center" vertical="center"/>
    </xf>
    <xf numFmtId="0" fontId="24" fillId="10" borderId="1" xfId="1" applyFont="1" applyFill="1" applyBorder="1" applyAlignment="1">
      <alignment horizontal="left" vertical="center"/>
    </xf>
    <xf numFmtId="0" fontId="24" fillId="10" borderId="2" xfId="1" applyFont="1" applyFill="1" applyBorder="1" applyAlignment="1">
      <alignment horizontal="left" vertical="center"/>
    </xf>
    <xf numFmtId="0" fontId="24" fillId="10" borderId="3" xfId="1" applyFont="1" applyFill="1" applyBorder="1" applyAlignment="1">
      <alignment horizontal="left" vertical="center"/>
    </xf>
    <xf numFmtId="0" fontId="21" fillId="10" borderId="0" xfId="1" applyFont="1" applyFill="1" applyAlignment="1">
      <alignment vertical="center"/>
    </xf>
    <xf numFmtId="0" fontId="51" fillId="10" borderId="0" xfId="1" applyFont="1" applyFill="1" applyBorder="1" applyAlignment="1">
      <alignment vertical="center"/>
    </xf>
    <xf numFmtId="0" fontId="21" fillId="10" borderId="40" xfId="1" applyFont="1" applyFill="1" applyBorder="1" applyAlignment="1">
      <alignment vertical="center"/>
    </xf>
    <xf numFmtId="0" fontId="3" fillId="10" borderId="0" xfId="1" applyFont="1" applyFill="1" applyBorder="1" applyAlignment="1">
      <alignment vertical="center"/>
    </xf>
    <xf numFmtId="0" fontId="21" fillId="10" borderId="41" xfId="1" applyFont="1" applyFill="1" applyBorder="1" applyAlignment="1">
      <alignment vertical="center"/>
    </xf>
    <xf numFmtId="0" fontId="21" fillId="0" borderId="0" xfId="1" applyFont="1" applyBorder="1" applyAlignment="1">
      <alignment horizontal="left" vertical="center"/>
    </xf>
    <xf numFmtId="0" fontId="55" fillId="0" borderId="0" xfId="1" applyFont="1" applyBorder="1" applyAlignment="1">
      <alignment horizontal="left" vertical="center"/>
    </xf>
    <xf numFmtId="0" fontId="15" fillId="0" borderId="0" xfId="1" applyFont="1" applyBorder="1" applyAlignment="1">
      <alignment vertical="center"/>
    </xf>
    <xf numFmtId="0" fontId="0" fillId="0" borderId="48" xfId="0" applyBorder="1"/>
    <xf numFmtId="0" fontId="0" fillId="0" borderId="49" xfId="0" applyBorder="1"/>
    <xf numFmtId="0" fontId="0" fillId="0" borderId="50" xfId="0" applyBorder="1"/>
    <xf numFmtId="0" fontId="59" fillId="11" borderId="0" xfId="1" applyFont="1" applyFill="1" applyBorder="1" applyAlignment="1">
      <alignment vertical="center"/>
    </xf>
    <xf numFmtId="0" fontId="57" fillId="11" borderId="0" xfId="1" applyFont="1" applyFill="1" applyBorder="1" applyAlignment="1">
      <alignment horizontal="left" vertical="center"/>
    </xf>
    <xf numFmtId="0" fontId="78" fillId="11" borderId="0" xfId="1" applyFont="1" applyFill="1" applyBorder="1" applyAlignment="1">
      <alignment horizontal="left" vertical="center"/>
    </xf>
    <xf numFmtId="0" fontId="78" fillId="11" borderId="0" xfId="1" applyFont="1" applyFill="1" applyBorder="1" applyAlignment="1">
      <alignment vertical="center"/>
    </xf>
    <xf numFmtId="0" fontId="79" fillId="11" borderId="0" xfId="1" applyFont="1" applyFill="1" applyBorder="1" applyAlignment="1">
      <alignment horizontal="left" vertical="center"/>
    </xf>
    <xf numFmtId="0" fontId="80" fillId="11" borderId="0" xfId="1" applyFont="1" applyFill="1" applyBorder="1" applyAlignment="1">
      <alignment horizontal="left" vertical="center"/>
    </xf>
    <xf numFmtId="0" fontId="81" fillId="11" borderId="0" xfId="1" applyFont="1" applyFill="1" applyBorder="1" applyAlignment="1">
      <alignment vertical="center"/>
    </xf>
    <xf numFmtId="0" fontId="21" fillId="11" borderId="0" xfId="1" applyFont="1" applyFill="1" applyAlignment="1">
      <alignment vertical="center"/>
    </xf>
    <xf numFmtId="0" fontId="21" fillId="11" borderId="0" xfId="1" applyFont="1" applyFill="1" applyAlignment="1">
      <alignment horizontal="left" vertical="center"/>
    </xf>
    <xf numFmtId="2" fontId="80" fillId="11" borderId="0" xfId="1" applyNumberFormat="1" applyFont="1" applyFill="1" applyBorder="1" applyAlignment="1">
      <alignment horizontal="left" vertical="center"/>
    </xf>
    <xf numFmtId="0" fontId="82" fillId="11" borderId="0" xfId="1" applyFont="1" applyFill="1" applyBorder="1" applyAlignment="1">
      <alignment horizontal="left" vertical="center"/>
    </xf>
    <xf numFmtId="0" fontId="28" fillId="11" borderId="0" xfId="1" applyFont="1" applyFill="1" applyAlignment="1">
      <alignment horizontal="left" vertical="center"/>
    </xf>
    <xf numFmtId="0" fontId="81" fillId="11" borderId="0" xfId="1" applyFont="1" applyFill="1" applyBorder="1" applyAlignment="1">
      <alignment horizontal="left" vertical="center"/>
    </xf>
    <xf numFmtId="0" fontId="27" fillId="11" borderId="0" xfId="1" applyFont="1" applyFill="1" applyBorder="1" applyAlignment="1">
      <alignment horizontal="left" vertical="center"/>
    </xf>
    <xf numFmtId="2" fontId="27" fillId="11" borderId="0" xfId="1" applyNumberFormat="1" applyFont="1" applyFill="1" applyBorder="1" applyAlignment="1">
      <alignment horizontal="left" vertical="center"/>
    </xf>
    <xf numFmtId="0" fontId="28" fillId="11" borderId="0" xfId="1" applyFont="1" applyFill="1" applyBorder="1" applyAlignment="1">
      <alignment horizontal="left" vertical="center"/>
    </xf>
    <xf numFmtId="0" fontId="29" fillId="11" borderId="0" xfId="1" applyFont="1" applyFill="1" applyBorder="1" applyAlignment="1">
      <alignment horizontal="left" vertical="center"/>
    </xf>
    <xf numFmtId="0" fontId="29" fillId="11" borderId="0" xfId="1" applyFont="1" applyFill="1" applyBorder="1" applyAlignment="1">
      <alignment vertical="center"/>
    </xf>
    <xf numFmtId="0" fontId="29" fillId="11" borderId="0" xfId="1" applyFont="1" applyFill="1" applyBorder="1" applyAlignment="1">
      <alignment horizontal="right" vertical="center"/>
    </xf>
    <xf numFmtId="0" fontId="21" fillId="12" borderId="25" xfId="1" applyFont="1" applyFill="1" applyBorder="1" applyAlignment="1" applyProtection="1">
      <alignment horizontal="center" vertical="center"/>
      <protection locked="0"/>
    </xf>
    <xf numFmtId="0" fontId="21" fillId="12" borderId="35" xfId="1" applyFont="1" applyFill="1" applyBorder="1" applyAlignment="1" applyProtection="1">
      <alignment horizontal="center" vertical="center"/>
      <protection locked="0"/>
    </xf>
    <xf numFmtId="0" fontId="21" fillId="12" borderId="36" xfId="1" applyFont="1" applyFill="1" applyBorder="1" applyAlignment="1" applyProtection="1">
      <alignment horizontal="center" vertical="center"/>
      <protection locked="0"/>
    </xf>
    <xf numFmtId="0" fontId="18" fillId="0" borderId="0" xfId="1" applyFont="1" applyBorder="1" applyAlignment="1" applyProtection="1">
      <alignment vertical="center"/>
      <protection locked="0"/>
    </xf>
    <xf numFmtId="0" fontId="72" fillId="0" borderId="0" xfId="0" applyFont="1" applyBorder="1" applyAlignment="1" applyProtection="1">
      <alignment vertical="center"/>
      <protection locked="0"/>
    </xf>
    <xf numFmtId="0" fontId="3" fillId="0" borderId="0" xfId="1" applyFont="1" applyBorder="1" applyAlignment="1" applyProtection="1">
      <alignment vertical="center"/>
      <protection locked="0"/>
    </xf>
    <xf numFmtId="0" fontId="51" fillId="0" borderId="0" xfId="1" applyFont="1" applyBorder="1" applyAlignment="1" applyProtection="1">
      <alignment horizontal="left" vertical="center"/>
      <protection locked="0"/>
    </xf>
    <xf numFmtId="0" fontId="74" fillId="0" borderId="0" xfId="0" applyFont="1" applyBorder="1" applyAlignment="1" applyProtection="1">
      <alignment horizontal="left" vertical="center"/>
      <protection locked="0"/>
    </xf>
    <xf numFmtId="0" fontId="51" fillId="0" borderId="0" xfId="1" applyFont="1" applyBorder="1" applyAlignment="1" applyProtection="1">
      <alignment vertical="center"/>
      <protection locked="0"/>
    </xf>
    <xf numFmtId="0" fontId="74" fillId="0" borderId="0" xfId="0" applyFont="1" applyBorder="1" applyAlignment="1" applyProtection="1">
      <alignment vertical="center"/>
      <protection locked="0"/>
    </xf>
    <xf numFmtId="0" fontId="26" fillId="0" borderId="2" xfId="0" applyFont="1" applyBorder="1" applyAlignment="1" applyProtection="1">
      <alignment vertical="center"/>
      <protection locked="0"/>
    </xf>
    <xf numFmtId="0" fontId="83" fillId="0" borderId="2" xfId="0" applyFont="1" applyBorder="1" applyAlignment="1" applyProtection="1">
      <alignment vertical="center"/>
      <protection locked="0"/>
    </xf>
    <xf numFmtId="0" fontId="83" fillId="0" borderId="3" xfId="0" applyFont="1" applyBorder="1" applyAlignment="1" applyProtection="1">
      <alignment vertical="center"/>
      <protection locked="0"/>
    </xf>
    <xf numFmtId="0" fontId="2" fillId="0" borderId="2" xfId="1" applyFont="1" applyBorder="1" applyAlignment="1" applyProtection="1">
      <alignment vertical="center"/>
      <protection locked="0"/>
    </xf>
    <xf numFmtId="0" fontId="2" fillId="0" borderId="3" xfId="1" applyFont="1" applyBorder="1" applyAlignment="1" applyProtection="1">
      <alignment vertical="center"/>
      <protection locked="0"/>
    </xf>
    <xf numFmtId="0" fontId="26" fillId="0" borderId="0" xfId="0" applyFont="1" applyAlignment="1">
      <alignment horizontal="left" vertical="center" indent="1"/>
    </xf>
    <xf numFmtId="0" fontId="49" fillId="0" borderId="0" xfId="0" applyFont="1"/>
    <xf numFmtId="0" fontId="26" fillId="0" borderId="0" xfId="0" applyFont="1" applyAlignment="1">
      <alignment vertical="center"/>
    </xf>
    <xf numFmtId="0" fontId="49" fillId="0" borderId="0" xfId="0" applyFont="1" applyBorder="1"/>
    <xf numFmtId="0" fontId="26" fillId="0" borderId="0" xfId="0" applyFont="1" applyBorder="1" applyAlignment="1">
      <alignment horizontal="left" vertical="center" wrapText="1"/>
    </xf>
    <xf numFmtId="0" fontId="49" fillId="0" borderId="0" xfId="0" applyFont="1" applyBorder="1" applyAlignment="1">
      <alignment wrapText="1"/>
    </xf>
    <xf numFmtId="0" fontId="49" fillId="0" borderId="46" xfId="0" applyFont="1" applyBorder="1" applyAlignment="1">
      <alignment wrapText="1"/>
    </xf>
    <xf numFmtId="0" fontId="26" fillId="0" borderId="0" xfId="0" applyFont="1" applyAlignment="1">
      <alignment horizontal="justify" vertical="center"/>
    </xf>
    <xf numFmtId="0" fontId="31" fillId="0" borderId="0" xfId="0" applyFont="1" applyAlignment="1">
      <alignment vertical="center"/>
    </xf>
    <xf numFmtId="0" fontId="49" fillId="0" borderId="0" xfId="0" applyFont="1" applyAlignment="1">
      <alignment horizontal="justify" vertical="center"/>
    </xf>
    <xf numFmtId="0" fontId="58" fillId="0" borderId="0" xfId="0" applyFont="1" applyAlignment="1">
      <alignment vertical="center"/>
    </xf>
    <xf numFmtId="0" fontId="89" fillId="0" borderId="0" xfId="0" applyFont="1" applyAlignment="1">
      <alignment vertical="center"/>
    </xf>
    <xf numFmtId="0" fontId="49" fillId="0" borderId="0" xfId="0" applyFont="1" applyAlignment="1"/>
    <xf numFmtId="0" fontId="21" fillId="0" borderId="44" xfId="1" applyFont="1" applyBorder="1" applyAlignment="1">
      <alignment vertical="center"/>
    </xf>
    <xf numFmtId="0" fontId="54" fillId="0" borderId="0" xfId="1" applyFont="1" applyFill="1" applyBorder="1" applyAlignment="1">
      <alignment horizontal="center" vertical="center"/>
    </xf>
    <xf numFmtId="0" fontId="18" fillId="0" borderId="0" xfId="1" applyFont="1" applyFill="1" applyBorder="1" applyAlignment="1">
      <alignment horizontal="left" vertical="center"/>
    </xf>
    <xf numFmtId="0" fontId="9" fillId="0" borderId="44" xfId="1" applyFont="1" applyFill="1" applyBorder="1" applyAlignment="1">
      <alignment horizontal="center" vertical="center"/>
    </xf>
    <xf numFmtId="0" fontId="21" fillId="0" borderId="0" xfId="1" applyFont="1" applyFill="1" applyBorder="1" applyAlignment="1">
      <alignment horizontal="center" vertical="center"/>
    </xf>
    <xf numFmtId="0" fontId="20" fillId="4" borderId="0" xfId="1" applyFill="1" applyBorder="1" applyAlignment="1">
      <alignment horizontal="center"/>
    </xf>
    <xf numFmtId="0" fontId="20" fillId="4" borderId="0" xfId="1" applyFill="1" applyBorder="1" applyAlignment="1">
      <alignment horizontal="center" vertical="center"/>
    </xf>
    <xf numFmtId="0" fontId="20" fillId="0" borderId="0" xfId="1" applyBorder="1" applyAlignment="1">
      <alignment horizontal="center" vertical="center"/>
    </xf>
    <xf numFmtId="0" fontId="20" fillId="0" borderId="0" xfId="1" applyBorder="1" applyAlignment="1"/>
    <xf numFmtId="0" fontId="21" fillId="10" borderId="32" xfId="1" applyFont="1" applyFill="1" applyBorder="1" applyAlignment="1">
      <alignment horizontal="left" vertical="center"/>
    </xf>
    <xf numFmtId="0" fontId="1" fillId="0" borderId="0" xfId="1" applyFont="1" applyAlignment="1" applyProtection="1">
      <alignment vertical="center"/>
      <protection locked="0"/>
    </xf>
    <xf numFmtId="0" fontId="87" fillId="10" borderId="0" xfId="0" applyFont="1" applyFill="1" applyAlignment="1">
      <alignment horizontal="center" vertical="center"/>
    </xf>
    <xf numFmtId="0" fontId="87" fillId="10" borderId="0" xfId="0" applyFont="1" applyFill="1" applyAlignment="1">
      <alignment horizontal="center"/>
    </xf>
    <xf numFmtId="0" fontId="26" fillId="0" borderId="0" xfId="0" applyFont="1" applyAlignment="1">
      <alignment horizontal="left" vertical="center" wrapText="1" indent="2"/>
    </xf>
    <xf numFmtId="0" fontId="49" fillId="0" borderId="0" xfId="0" applyFont="1" applyAlignment="1">
      <alignment horizontal="left" indent="2"/>
    </xf>
    <xf numFmtId="0" fontId="83" fillId="10" borderId="0" xfId="0" applyFont="1" applyFill="1" applyAlignment="1">
      <alignment horizontal="justify" vertical="center" wrapText="1"/>
    </xf>
    <xf numFmtId="0" fontId="30" fillId="10" borderId="0" xfId="0" applyFont="1" applyFill="1" applyAlignment="1"/>
    <xf numFmtId="0" fontId="49" fillId="0" borderId="0" xfId="0" applyFont="1" applyAlignment="1">
      <alignment horizontal="right" vertical="center" wrapText="1"/>
    </xf>
    <xf numFmtId="0" fontId="49" fillId="0" borderId="0" xfId="0" applyFont="1" applyAlignment="1">
      <alignment horizontal="right"/>
    </xf>
    <xf numFmtId="0" fontId="26" fillId="0" borderId="0" xfId="0" applyFont="1" applyAlignment="1">
      <alignment horizontal="justify" vertical="center" wrapText="1"/>
    </xf>
    <xf numFmtId="0" fontId="49" fillId="0" borderId="0" xfId="0" applyFont="1" applyAlignment="1"/>
    <xf numFmtId="0" fontId="92" fillId="0" borderId="0" xfId="0" applyFont="1" applyAlignment="1">
      <alignment horizontal="justify" vertical="center" wrapText="1"/>
    </xf>
    <xf numFmtId="0" fontId="92" fillId="0" borderId="0" xfId="0" applyFont="1" applyAlignment="1">
      <alignment wrapText="1"/>
    </xf>
    <xf numFmtId="0" fontId="83" fillId="0" borderId="0" xfId="0" applyFont="1" applyAlignment="1">
      <alignment horizontal="justify" vertical="center"/>
    </xf>
    <xf numFmtId="0" fontId="94" fillId="0" borderId="0" xfId="0" applyFont="1" applyAlignment="1">
      <alignment horizontal="justify" vertical="center"/>
    </xf>
    <xf numFmtId="0" fontId="93" fillId="0" borderId="0" xfId="0" applyFont="1" applyAlignment="1">
      <alignment wrapText="1"/>
    </xf>
    <xf numFmtId="0" fontId="26" fillId="0" borderId="0" xfId="0" applyFont="1" applyAlignment="1">
      <alignment horizontal="justify" vertical="center"/>
    </xf>
    <xf numFmtId="0" fontId="26" fillId="0" borderId="0" xfId="0" applyFont="1" applyAlignment="1">
      <alignment vertical="center" wrapText="1"/>
    </xf>
    <xf numFmtId="0" fontId="26" fillId="0" borderId="0" xfId="0" applyFont="1" applyAlignment="1">
      <alignment vertical="center"/>
    </xf>
    <xf numFmtId="0" fontId="26" fillId="0" borderId="51" xfId="0" applyFont="1" applyBorder="1" applyAlignment="1">
      <alignment horizontal="left" vertical="center" wrapText="1"/>
    </xf>
    <xf numFmtId="0" fontId="49" fillId="0" borderId="52" xfId="0" applyFont="1" applyBorder="1" applyAlignment="1">
      <alignment wrapText="1"/>
    </xf>
    <xf numFmtId="0" fontId="49" fillId="0" borderId="53" xfId="0" applyFont="1" applyBorder="1" applyAlignment="1">
      <alignment wrapText="1"/>
    </xf>
    <xf numFmtId="0" fontId="26" fillId="0" borderId="47" xfId="0" applyFont="1" applyBorder="1" applyAlignment="1">
      <alignment horizontal="left" vertical="center" wrapText="1"/>
    </xf>
    <xf numFmtId="0" fontId="49" fillId="0" borderId="47" xfId="0" applyFont="1" applyBorder="1" applyAlignment="1">
      <alignment wrapText="1"/>
    </xf>
    <xf numFmtId="0" fontId="26" fillId="0" borderId="0" xfId="0" applyFont="1" applyBorder="1" applyAlignment="1">
      <alignment vertical="center" wrapText="1"/>
    </xf>
    <xf numFmtId="0" fontId="49" fillId="0" borderId="0" xfId="0" applyFont="1" applyBorder="1" applyAlignment="1">
      <alignment wrapText="1"/>
    </xf>
    <xf numFmtId="0" fontId="49" fillId="0" borderId="0" xfId="0" applyFont="1" applyAlignment="1">
      <alignment wrapText="1"/>
    </xf>
    <xf numFmtId="0" fontId="75" fillId="0" borderId="0" xfId="0" applyFont="1" applyAlignment="1">
      <alignment vertical="center" wrapText="1"/>
    </xf>
    <xf numFmtId="0" fontId="0" fillId="0" borderId="0" xfId="0" applyAlignment="1">
      <alignment vertical="center" wrapText="1"/>
    </xf>
    <xf numFmtId="0" fontId="91" fillId="0" borderId="0" xfId="0" applyFont="1" applyAlignment="1">
      <alignment horizontal="justify" vertical="center"/>
    </xf>
    <xf numFmtId="0" fontId="90" fillId="0" borderId="0" xfId="6" applyFont="1" applyAlignment="1">
      <alignment horizontal="left" vertical="center" wrapText="1"/>
    </xf>
    <xf numFmtId="2" fontId="60" fillId="0" borderId="0" xfId="1" applyNumberFormat="1" applyFont="1" applyFill="1" applyBorder="1" applyAlignment="1">
      <alignment horizontal="center" vertical="center"/>
    </xf>
    <xf numFmtId="2" fontId="55" fillId="0" borderId="18" xfId="1" applyNumberFormat="1" applyFont="1" applyBorder="1" applyAlignment="1">
      <alignment horizontal="center" vertical="center"/>
    </xf>
    <xf numFmtId="0" fontId="0" fillId="0" borderId="18" xfId="0" applyBorder="1" applyAlignment="1">
      <alignment horizontal="center" vertical="center"/>
    </xf>
    <xf numFmtId="0" fontId="95" fillId="10" borderId="45" xfId="1" applyFont="1" applyFill="1" applyBorder="1" applyAlignment="1">
      <alignment horizontal="center" vertical="center"/>
    </xf>
    <xf numFmtId="0" fontId="95" fillId="10" borderId="0" xfId="1" applyFont="1" applyFill="1" applyBorder="1" applyAlignment="1" applyProtection="1">
      <alignment horizontal="center" vertical="center"/>
      <protection locked="0"/>
    </xf>
    <xf numFmtId="14" fontId="56" fillId="0" borderId="23" xfId="0" applyNumberFormat="1" applyFont="1" applyBorder="1" applyAlignment="1" applyProtection="1">
      <alignment horizontal="left" vertical="center"/>
      <protection locked="0"/>
    </xf>
    <xf numFmtId="0" fontId="56" fillId="0" borderId="23" xfId="0" applyFont="1" applyBorder="1" applyAlignment="1" applyProtection="1">
      <alignment horizontal="left" vertical="center"/>
      <protection locked="0"/>
    </xf>
    <xf numFmtId="0" fontId="95" fillId="10" borderId="0" xfId="1" applyFont="1" applyFill="1" applyBorder="1" applyAlignment="1">
      <alignment horizontal="center" vertical="center"/>
    </xf>
    <xf numFmtId="2" fontId="51" fillId="6" borderId="1" xfId="1" applyNumberFormat="1" applyFont="1" applyFill="1" applyBorder="1" applyAlignment="1">
      <alignment horizontal="center" vertical="center"/>
    </xf>
    <xf numFmtId="0" fontId="56" fillId="6" borderId="2" xfId="0" applyFont="1" applyFill="1" applyBorder="1" applyAlignment="1">
      <alignment horizontal="center" vertical="center"/>
    </xf>
    <xf numFmtId="0" fontId="56" fillId="6" borderId="3" xfId="0" applyFont="1" applyFill="1" applyBorder="1" applyAlignment="1">
      <alignment horizontal="center" vertical="center"/>
    </xf>
    <xf numFmtId="2" fontId="15" fillId="0" borderId="1" xfId="1" applyNumberFormat="1" applyFont="1" applyFill="1" applyBorder="1" applyAlignment="1">
      <alignment horizontal="right" vertical="center"/>
    </xf>
    <xf numFmtId="2" fontId="15" fillId="0" borderId="2" xfId="1" applyNumberFormat="1" applyFont="1" applyFill="1" applyBorder="1" applyAlignment="1">
      <alignment horizontal="right" vertical="center"/>
    </xf>
    <xf numFmtId="2" fontId="15" fillId="0" borderId="3" xfId="1" applyNumberFormat="1" applyFont="1" applyFill="1" applyBorder="1" applyAlignment="1">
      <alignment horizontal="right" vertical="center"/>
    </xf>
    <xf numFmtId="164" fontId="15" fillId="0" borderId="1" xfId="1" applyNumberFormat="1" applyFont="1" applyFill="1" applyBorder="1" applyAlignment="1">
      <alignment horizontal="right" vertical="center"/>
    </xf>
    <xf numFmtId="164" fontId="15" fillId="0" borderId="2" xfId="1" applyNumberFormat="1" applyFont="1" applyFill="1" applyBorder="1" applyAlignment="1">
      <alignment horizontal="right" vertical="center"/>
    </xf>
    <xf numFmtId="164" fontId="15" fillId="0" borderId="3" xfId="1" applyNumberFormat="1" applyFont="1" applyFill="1" applyBorder="1" applyAlignment="1">
      <alignment horizontal="right" vertical="center"/>
    </xf>
    <xf numFmtId="2" fontId="55" fillId="0" borderId="1" xfId="1" applyNumberFormat="1" applyFont="1" applyBorder="1" applyAlignment="1">
      <alignment vertical="center"/>
    </xf>
    <xf numFmtId="0" fontId="56" fillId="0" borderId="2" xfId="0" applyFont="1" applyBorder="1" applyAlignment="1">
      <alignment vertical="center"/>
    </xf>
    <xf numFmtId="0" fontId="56" fillId="0" borderId="3" xfId="0" applyFont="1" applyBorder="1" applyAlignment="1">
      <alignment vertical="center"/>
    </xf>
    <xf numFmtId="0" fontId="57" fillId="0" borderId="1" xfId="0" applyFont="1" applyBorder="1" applyAlignment="1" applyProtection="1">
      <alignment vertical="center"/>
      <protection locked="0"/>
    </xf>
    <xf numFmtId="0" fontId="57" fillId="0" borderId="2" xfId="0" applyFont="1" applyBorder="1" applyAlignment="1">
      <alignment vertical="center"/>
    </xf>
    <xf numFmtId="0" fontId="57" fillId="0" borderId="3" xfId="0" applyFont="1" applyBorder="1" applyAlignment="1">
      <alignment vertical="center"/>
    </xf>
    <xf numFmtId="0" fontId="55" fillId="0" borderId="23" xfId="1" applyFont="1" applyBorder="1" applyAlignment="1" applyProtection="1">
      <alignment horizontal="center" vertical="center"/>
      <protection locked="0"/>
    </xf>
    <xf numFmtId="0" fontId="56" fillId="0" borderId="23" xfId="0" applyFont="1" applyBorder="1" applyAlignment="1" applyProtection="1">
      <alignment horizontal="center" vertical="center"/>
      <protection locked="0"/>
    </xf>
    <xf numFmtId="0" fontId="55" fillId="6" borderId="18" xfId="1" applyFont="1" applyFill="1" applyBorder="1" applyAlignment="1">
      <alignment horizontal="center" vertical="center"/>
    </xf>
    <xf numFmtId="0" fontId="0" fillId="0" borderId="18" xfId="0" applyBorder="1" applyAlignment="1">
      <alignment vertical="center"/>
    </xf>
    <xf numFmtId="2" fontId="55" fillId="0" borderId="29" xfId="1" applyNumberFormat="1" applyFont="1" applyBorder="1" applyAlignment="1">
      <alignment horizontal="center" vertical="center"/>
    </xf>
    <xf numFmtId="2" fontId="56" fillId="0" borderId="30" xfId="0" applyNumberFormat="1" applyFont="1" applyBorder="1" applyAlignment="1">
      <alignment horizontal="center" vertical="center"/>
    </xf>
    <xf numFmtId="0" fontId="56" fillId="0" borderId="30" xfId="0" applyFont="1" applyBorder="1" applyAlignment="1">
      <alignment horizontal="center" vertical="center"/>
    </xf>
    <xf numFmtId="0" fontId="51" fillId="0" borderId="22" xfId="1" applyFont="1" applyBorder="1" applyAlignment="1">
      <alignment horizontal="center" vertical="center"/>
    </xf>
    <xf numFmtId="0" fontId="56" fillId="0" borderId="28" xfId="0" applyFont="1" applyBorder="1" applyAlignment="1">
      <alignment horizontal="center" vertical="center"/>
    </xf>
    <xf numFmtId="2" fontId="55" fillId="0" borderId="10" xfId="1" applyNumberFormat="1" applyFont="1" applyBorder="1" applyAlignment="1">
      <alignment horizontal="center" vertical="center"/>
    </xf>
    <xf numFmtId="0" fontId="56" fillId="0" borderId="11" xfId="0" applyFont="1" applyBorder="1" applyAlignment="1">
      <alignment horizontal="center" vertical="center"/>
    </xf>
    <xf numFmtId="2" fontId="80" fillId="11" borderId="0" xfId="1" applyNumberFormat="1" applyFont="1" applyFill="1" applyBorder="1" applyAlignment="1">
      <alignment horizontal="center" vertical="center"/>
    </xf>
    <xf numFmtId="2" fontId="56" fillId="0" borderId="11" xfId="0" applyNumberFormat="1" applyFont="1" applyBorder="1" applyAlignment="1">
      <alignment horizontal="center" vertical="center"/>
    </xf>
    <xf numFmtId="0" fontId="56" fillId="0" borderId="27" xfId="0" applyFont="1" applyBorder="1" applyAlignment="1">
      <alignment horizontal="center" vertical="center"/>
    </xf>
    <xf numFmtId="2" fontId="51" fillId="0" borderId="22" xfId="1" applyNumberFormat="1" applyFont="1" applyBorder="1" applyAlignment="1">
      <alignment horizontal="center" vertical="center"/>
    </xf>
    <xf numFmtId="2" fontId="56" fillId="0" borderId="27" xfId="0" applyNumberFormat="1" applyFont="1" applyBorder="1" applyAlignment="1">
      <alignment horizontal="center" vertical="center"/>
    </xf>
    <xf numFmtId="2" fontId="56" fillId="0" borderId="28" xfId="0" applyNumberFormat="1" applyFont="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2" fontId="51" fillId="0" borderId="10" xfId="1" applyNumberFormat="1" applyFont="1" applyBorder="1" applyAlignment="1">
      <alignment horizontal="center" vertical="center"/>
    </xf>
    <xf numFmtId="0" fontId="0" fillId="0" borderId="9" xfId="0" applyBorder="1" applyAlignment="1">
      <alignment vertical="center"/>
    </xf>
    <xf numFmtId="0" fontId="0" fillId="0" borderId="11" xfId="0" applyBorder="1" applyAlignment="1">
      <alignment vertical="center"/>
    </xf>
    <xf numFmtId="2" fontId="51" fillId="0" borderId="29" xfId="1" applyNumberFormat="1" applyFont="1" applyBorder="1" applyAlignment="1">
      <alignment horizontal="center" vertical="center"/>
    </xf>
    <xf numFmtId="0" fontId="0" fillId="0" borderId="38" xfId="0" applyBorder="1" applyAlignment="1">
      <alignment vertical="center"/>
    </xf>
    <xf numFmtId="0" fontId="0" fillId="0" borderId="30" xfId="0" applyBorder="1" applyAlignment="1">
      <alignment vertical="center"/>
    </xf>
    <xf numFmtId="2" fontId="51" fillId="0" borderId="25" xfId="1" applyNumberFormat="1" applyFont="1" applyBorder="1" applyAlignment="1">
      <alignment horizontal="center" vertical="center"/>
    </xf>
    <xf numFmtId="2" fontId="56" fillId="0" borderId="0" xfId="0" applyNumberFormat="1" applyFont="1" applyBorder="1" applyAlignment="1">
      <alignment horizontal="center" vertical="center"/>
    </xf>
    <xf numFmtId="2" fontId="56" fillId="0" borderId="26" xfId="0" applyNumberFormat="1" applyFont="1" applyBorder="1" applyAlignment="1">
      <alignment horizontal="center" vertical="center"/>
    </xf>
    <xf numFmtId="0" fontId="55" fillId="6" borderId="1" xfId="1"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2" fontId="55" fillId="0" borderId="1" xfId="1" applyNumberFormat="1" applyFont="1" applyBorder="1" applyAlignment="1">
      <alignment horizontal="center" vertical="center"/>
    </xf>
    <xf numFmtId="0" fontId="0" fillId="6" borderId="18" xfId="0" applyFill="1" applyBorder="1" applyAlignment="1">
      <alignment horizontal="center" vertical="center"/>
    </xf>
    <xf numFmtId="0" fontId="51" fillId="0" borderId="1" xfId="1" applyFont="1" applyBorder="1" applyAlignment="1" applyProtection="1">
      <alignment horizontal="left" vertical="center"/>
      <protection locked="0"/>
    </xf>
    <xf numFmtId="0" fontId="74" fillId="0" borderId="2"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51" fillId="0" borderId="1" xfId="1" applyFont="1" applyBorder="1" applyAlignment="1" applyProtection="1">
      <alignment vertical="center"/>
      <protection locked="0"/>
    </xf>
    <xf numFmtId="0" fontId="74" fillId="0" borderId="2" xfId="0" applyFont="1" applyBorder="1" applyAlignment="1" applyProtection="1">
      <alignment vertical="center"/>
      <protection locked="0"/>
    </xf>
    <xf numFmtId="0" fontId="74" fillId="0" borderId="3" xfId="0" applyFont="1" applyBorder="1" applyAlignment="1" applyProtection="1">
      <alignment vertical="center"/>
      <protection locked="0"/>
    </xf>
    <xf numFmtId="0" fontId="83" fillId="0" borderId="2" xfId="0" applyFont="1" applyBorder="1" applyAlignment="1" applyProtection="1">
      <alignment vertical="center"/>
      <protection locked="0"/>
    </xf>
    <xf numFmtId="0" fontId="30" fillId="0" borderId="2" xfId="0" applyFont="1" applyBorder="1" applyAlignment="1">
      <alignment vertical="center"/>
    </xf>
    <xf numFmtId="0" fontId="30" fillId="0" borderId="3" xfId="0" applyFont="1" applyBorder="1" applyAlignment="1">
      <alignment vertical="center"/>
    </xf>
    <xf numFmtId="0" fontId="24" fillId="0" borderId="39" xfId="1" applyFont="1" applyBorder="1" applyAlignment="1">
      <alignment horizontal="center" vertical="center"/>
    </xf>
    <xf numFmtId="0" fontId="0" fillId="0" borderId="39" xfId="0" applyBorder="1" applyAlignment="1">
      <alignment horizontal="center" vertical="center"/>
    </xf>
    <xf numFmtId="2" fontId="21" fillId="0" borderId="8" xfId="1" applyNumberFormat="1" applyFont="1" applyBorder="1" applyAlignment="1">
      <alignment horizontal="center" vertical="center"/>
    </xf>
    <xf numFmtId="0" fontId="0" fillId="0" borderId="8" xfId="0" applyBorder="1" applyAlignment="1">
      <alignment horizontal="center" vertical="center"/>
    </xf>
    <xf numFmtId="0" fontId="0" fillId="0" borderId="39" xfId="0" applyBorder="1" applyAlignment="1">
      <alignment vertical="center"/>
    </xf>
    <xf numFmtId="0" fontId="16" fillId="0" borderId="23" xfId="0" applyFont="1" applyBorder="1" applyAlignment="1" applyProtection="1">
      <alignment vertical="center"/>
      <protection locked="0"/>
    </xf>
    <xf numFmtId="0" fontId="0" fillId="0" borderId="23" xfId="0" applyBorder="1" applyAlignment="1" applyProtection="1">
      <alignment vertical="center"/>
      <protection locked="0"/>
    </xf>
    <xf numFmtId="2" fontId="21" fillId="0" borderId="10" xfId="1" applyNumberFormat="1" applyFont="1" applyBorder="1" applyAlignment="1">
      <alignment horizontal="center" vertical="center"/>
    </xf>
    <xf numFmtId="0" fontId="0" fillId="0" borderId="11" xfId="0" applyBorder="1" applyAlignment="1">
      <alignment horizontal="center" vertical="center"/>
    </xf>
    <xf numFmtId="2" fontId="21" fillId="0" borderId="17" xfId="1" applyNumberFormat="1" applyFont="1" applyBorder="1" applyAlignment="1">
      <alignment horizontal="center" vertical="center"/>
    </xf>
    <xf numFmtId="0" fontId="0" fillId="0" borderId="17" xfId="0" applyBorder="1" applyAlignment="1">
      <alignment horizontal="center" vertical="center"/>
    </xf>
    <xf numFmtId="0" fontId="84" fillId="10" borderId="0" xfId="1" applyFont="1" applyFill="1" applyBorder="1" applyAlignment="1">
      <alignment horizontal="center" vertical="center"/>
    </xf>
    <xf numFmtId="2" fontId="11" fillId="0" borderId="1" xfId="1" applyNumberFormat="1" applyFont="1" applyFill="1" applyBorder="1" applyAlignment="1" applyProtection="1">
      <alignment horizontal="right"/>
      <protection locked="0"/>
    </xf>
    <xf numFmtId="2" fontId="11" fillId="0" borderId="2" xfId="1" applyNumberFormat="1" applyFont="1" applyFill="1" applyBorder="1" applyAlignment="1" applyProtection="1">
      <alignment horizontal="right"/>
      <protection locked="0"/>
    </xf>
    <xf numFmtId="2" fontId="11" fillId="0" borderId="3" xfId="1" applyNumberFormat="1" applyFont="1" applyFill="1" applyBorder="1" applyAlignment="1" applyProtection="1">
      <alignment horizontal="right"/>
      <protection locked="0"/>
    </xf>
    <xf numFmtId="2" fontId="15" fillId="0" borderId="10" xfId="1" applyNumberFormat="1" applyFont="1" applyBorder="1" applyAlignment="1" applyProtection="1">
      <alignment horizontal="right" vertical="center"/>
      <protection locked="0"/>
    </xf>
    <xf numFmtId="0" fontId="0" fillId="0" borderId="9" xfId="0" applyBorder="1" applyAlignment="1" applyProtection="1">
      <alignment horizontal="right" vertical="center"/>
      <protection locked="0"/>
    </xf>
    <xf numFmtId="0" fontId="0" fillId="0" borderId="11" xfId="0" applyBorder="1" applyAlignment="1" applyProtection="1">
      <alignment horizontal="right" vertical="center"/>
      <protection locked="0"/>
    </xf>
    <xf numFmtId="2" fontId="21" fillId="0" borderId="1" xfId="1" applyNumberFormat="1" applyFont="1" applyBorder="1" applyAlignment="1">
      <alignment horizontal="right" vertical="center"/>
    </xf>
    <xf numFmtId="2" fontId="0" fillId="0" borderId="2" xfId="0" applyNumberFormat="1" applyBorder="1" applyAlignment="1">
      <alignment horizontal="right" vertical="center"/>
    </xf>
    <xf numFmtId="2" fontId="17" fillId="11" borderId="0" xfId="1" applyNumberFormat="1" applyFont="1" applyFill="1" applyBorder="1" applyAlignment="1">
      <alignment horizontal="center" vertical="center"/>
    </xf>
    <xf numFmtId="0" fontId="21" fillId="0" borderId="2" xfId="1" applyFont="1" applyBorder="1" applyAlignment="1">
      <alignment horizontal="center" vertical="center"/>
    </xf>
    <xf numFmtId="0" fontId="21" fillId="0" borderId="3" xfId="1" applyFont="1" applyBorder="1" applyAlignment="1">
      <alignment horizontal="center" vertical="center"/>
    </xf>
    <xf numFmtId="164" fontId="15" fillId="0" borderId="1" xfId="1" applyNumberFormat="1" applyFont="1" applyBorder="1" applyAlignment="1">
      <alignment horizontal="right" vertical="center"/>
    </xf>
    <xf numFmtId="164" fontId="15" fillId="0" borderId="2" xfId="1" applyNumberFormat="1" applyFont="1" applyBorder="1" applyAlignment="1">
      <alignment horizontal="right" vertical="center"/>
    </xf>
    <xf numFmtId="164" fontId="26" fillId="0" borderId="1" xfId="1" applyNumberFormat="1" applyFont="1" applyBorder="1" applyAlignment="1">
      <alignment horizontal="right" vertical="center"/>
    </xf>
    <xf numFmtId="0" fontId="0" fillId="0" borderId="2" xfId="0" applyBorder="1" applyAlignment="1">
      <alignment vertical="center"/>
    </xf>
    <xf numFmtId="164" fontId="21" fillId="0" borderId="1" xfId="1" applyNumberFormat="1" applyFont="1" applyBorder="1" applyAlignment="1">
      <alignment horizontal="right" vertical="center"/>
    </xf>
    <xf numFmtId="164" fontId="21" fillId="0" borderId="2" xfId="1" applyNumberFormat="1" applyFont="1" applyBorder="1" applyAlignment="1">
      <alignment horizontal="right" vertical="center"/>
    </xf>
    <xf numFmtId="0" fontId="24" fillId="10" borderId="1" xfId="1" applyFont="1" applyFill="1" applyBorder="1" applyAlignment="1">
      <alignment horizontal="left" vertical="center"/>
    </xf>
    <xf numFmtId="0" fontId="64" fillId="10" borderId="2" xfId="0" applyFont="1" applyFill="1" applyBorder="1" applyAlignment="1">
      <alignment vertical="center"/>
    </xf>
    <xf numFmtId="0" fontId="64" fillId="10" borderId="3" xfId="0" applyFont="1" applyFill="1" applyBorder="1" applyAlignment="1">
      <alignment vertical="center"/>
    </xf>
    <xf numFmtId="2" fontId="21" fillId="0" borderId="29" xfId="1" applyNumberFormat="1" applyFont="1" applyBorder="1" applyAlignment="1">
      <alignment horizontal="center" vertical="center"/>
    </xf>
    <xf numFmtId="0" fontId="0" fillId="0" borderId="30" xfId="0" applyBorder="1" applyAlignment="1">
      <alignment horizontal="center" vertical="center"/>
    </xf>
    <xf numFmtId="0" fontId="86" fillId="10" borderId="0" xfId="1" applyFont="1" applyFill="1" applyBorder="1" applyAlignment="1">
      <alignment horizontal="center" vertical="center"/>
    </xf>
    <xf numFmtId="3" fontId="49" fillId="0" borderId="1" xfId="1" applyNumberFormat="1" applyFont="1" applyBorder="1" applyAlignment="1">
      <alignment horizontal="center" vertical="center"/>
    </xf>
    <xf numFmtId="3" fontId="0" fillId="0" borderId="3" xfId="0" applyNumberFormat="1" applyBorder="1" applyAlignment="1">
      <alignment vertical="center"/>
    </xf>
    <xf numFmtId="2" fontId="24" fillId="0" borderId="8" xfId="1" applyNumberFormat="1" applyFont="1" applyBorder="1" applyAlignment="1">
      <alignment horizontal="center" vertical="center"/>
    </xf>
    <xf numFmtId="0" fontId="0" fillId="0" borderId="8" xfId="0" applyBorder="1" applyAlignment="1">
      <alignment vertical="center"/>
    </xf>
    <xf numFmtId="2" fontId="24" fillId="0" borderId="10" xfId="1" applyNumberFormat="1" applyFont="1" applyBorder="1" applyAlignment="1">
      <alignment horizontal="center" vertical="center"/>
    </xf>
    <xf numFmtId="0" fontId="21" fillId="0" borderId="0" xfId="1" applyFont="1" applyFill="1" applyBorder="1" applyAlignment="1">
      <alignment horizontal="center" vertical="center"/>
    </xf>
    <xf numFmtId="0" fontId="24" fillId="0" borderId="0" xfId="1" applyFont="1" applyFill="1" applyBorder="1" applyAlignment="1">
      <alignment horizontal="center" vertical="center"/>
    </xf>
    <xf numFmtId="2" fontId="24" fillId="0" borderId="17" xfId="1" applyNumberFormat="1" applyFont="1" applyBorder="1" applyAlignment="1">
      <alignment horizontal="center" vertical="center"/>
    </xf>
    <xf numFmtId="0" fontId="0" fillId="0" borderId="17" xfId="0" applyBorder="1" applyAlignment="1">
      <alignment vertical="center"/>
    </xf>
    <xf numFmtId="2" fontId="24" fillId="0" borderId="29" xfId="1" applyNumberFormat="1" applyFont="1" applyBorder="1" applyAlignment="1">
      <alignment horizontal="center" vertical="center"/>
    </xf>
    <xf numFmtId="0" fontId="27" fillId="0" borderId="0" xfId="1" applyFont="1" applyFill="1" applyBorder="1" applyAlignment="1">
      <alignment horizontal="center" vertical="center" wrapText="1"/>
    </xf>
    <xf numFmtId="0" fontId="0" fillId="0" borderId="0" xfId="0" applyFill="1" applyBorder="1" applyAlignment="1">
      <alignment vertical="center" wrapText="1"/>
    </xf>
    <xf numFmtId="2" fontId="15" fillId="0" borderId="1" xfId="1" applyNumberFormat="1" applyFont="1" applyFill="1" applyBorder="1" applyAlignment="1" applyProtection="1">
      <alignment horizontal="right" vertical="center"/>
      <protection locked="0"/>
    </xf>
    <xf numFmtId="2" fontId="15" fillId="0" borderId="2" xfId="1" applyNumberFormat="1" applyFont="1" applyFill="1" applyBorder="1" applyAlignment="1" applyProtection="1">
      <alignment horizontal="right" vertical="center"/>
      <protection locked="0"/>
    </xf>
    <xf numFmtId="2" fontId="15" fillId="0" borderId="3" xfId="1" applyNumberFormat="1" applyFont="1" applyFill="1" applyBorder="1" applyAlignment="1" applyProtection="1">
      <alignment horizontal="right" vertical="center"/>
      <protection locked="0"/>
    </xf>
    <xf numFmtId="2" fontId="23" fillId="0" borderId="0" xfId="1" applyNumberFormat="1" applyFont="1" applyFill="1" applyBorder="1" applyAlignment="1">
      <alignment horizontal="center" vertical="center"/>
    </xf>
    <xf numFmtId="0" fontId="26" fillId="0" borderId="15" xfId="1" applyFont="1" applyBorder="1" applyAlignment="1">
      <alignment horizontal="center" vertical="center"/>
    </xf>
    <xf numFmtId="0" fontId="26" fillId="0" borderId="2" xfId="1" applyFont="1" applyBorder="1" applyAlignment="1">
      <alignment horizontal="center" vertical="center"/>
    </xf>
    <xf numFmtId="0" fontId="26" fillId="0" borderId="16" xfId="1" applyFont="1" applyBorder="1" applyAlignment="1">
      <alignment horizontal="center" vertical="center"/>
    </xf>
    <xf numFmtId="0" fontId="26" fillId="0" borderId="3" xfId="1" applyFont="1" applyBorder="1" applyAlignment="1">
      <alignment horizontal="center" vertical="center"/>
    </xf>
    <xf numFmtId="2" fontId="15" fillId="0" borderId="12" xfId="1" applyNumberFormat="1" applyFont="1" applyBorder="1" applyAlignment="1" applyProtection="1">
      <alignment horizontal="right" vertical="center"/>
      <protection locked="0"/>
    </xf>
    <xf numFmtId="0" fontId="0" fillId="0" borderId="13" xfId="0" applyBorder="1" applyAlignment="1" applyProtection="1">
      <alignment horizontal="right" vertical="center"/>
      <protection locked="0"/>
    </xf>
    <xf numFmtId="0" fontId="0" fillId="0" borderId="14" xfId="0" applyBorder="1" applyAlignment="1" applyProtection="1">
      <alignment horizontal="right" vertical="center"/>
      <protection locked="0"/>
    </xf>
    <xf numFmtId="0" fontId="26" fillId="0" borderId="1" xfId="1" applyFont="1" applyBorder="1" applyAlignment="1">
      <alignment horizontal="center" vertical="center"/>
    </xf>
    <xf numFmtId="2" fontId="15" fillId="0" borderId="1" xfId="1" applyNumberFormat="1" applyFont="1"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3" xfId="0" applyBorder="1" applyAlignment="1" applyProtection="1">
      <alignment horizontal="right" vertical="center"/>
      <protection locked="0"/>
    </xf>
    <xf numFmtId="0" fontId="15" fillId="10" borderId="1" xfId="1" applyFont="1" applyFill="1" applyBorder="1" applyAlignment="1">
      <alignment horizontal="center" vertical="center"/>
    </xf>
    <xf numFmtId="0" fontId="0" fillId="10" borderId="2" xfId="0" applyFill="1" applyBorder="1" applyAlignment="1">
      <alignment horizontal="center" vertical="center"/>
    </xf>
    <xf numFmtId="0" fontId="0" fillId="10" borderId="3" xfId="0" applyFill="1" applyBorder="1" applyAlignment="1">
      <alignment horizontal="center" vertical="center"/>
    </xf>
    <xf numFmtId="165" fontId="23" fillId="0" borderId="0" xfId="1" applyNumberFormat="1" applyFont="1" applyFill="1" applyBorder="1" applyAlignment="1">
      <alignment horizontal="center" vertical="center"/>
    </xf>
    <xf numFmtId="0" fontId="84" fillId="10" borderId="0" xfId="1" applyFont="1" applyFill="1" applyBorder="1" applyAlignment="1">
      <alignment horizontal="center" vertical="center" wrapText="1"/>
    </xf>
    <xf numFmtId="0" fontId="27" fillId="0" borderId="0" xfId="1" applyFont="1" applyFill="1" applyBorder="1" applyAlignment="1">
      <alignment horizontal="center" vertical="center"/>
    </xf>
    <xf numFmtId="0" fontId="0" fillId="0" borderId="0" xfId="0" applyFill="1" applyBorder="1" applyAlignment="1">
      <alignment vertical="center"/>
    </xf>
    <xf numFmtId="2" fontId="15" fillId="0" borderId="6" xfId="1" applyNumberFormat="1" applyFont="1" applyBorder="1" applyAlignment="1" applyProtection="1">
      <alignment horizontal="right" vertical="center"/>
      <protection locked="0"/>
    </xf>
    <xf numFmtId="0" fontId="0" fillId="0" borderId="5" xfId="0" applyBorder="1" applyAlignment="1" applyProtection="1">
      <alignment horizontal="right" vertical="center"/>
      <protection locked="0"/>
    </xf>
    <xf numFmtId="0" fontId="0" fillId="0" borderId="7" xfId="0" applyBorder="1" applyAlignment="1" applyProtection="1">
      <alignment horizontal="right" vertical="center"/>
      <protection locked="0"/>
    </xf>
    <xf numFmtId="164" fontId="15" fillId="0" borderId="1" xfId="1" applyNumberFormat="1" applyFont="1" applyFill="1" applyBorder="1" applyAlignment="1" applyProtection="1">
      <alignment horizontal="right" vertical="center"/>
      <protection locked="0"/>
    </xf>
    <xf numFmtId="164" fontId="15" fillId="0" borderId="2" xfId="1" applyNumberFormat="1" applyFont="1" applyFill="1" applyBorder="1" applyAlignment="1" applyProtection="1">
      <alignment horizontal="right" vertical="center"/>
      <protection locked="0"/>
    </xf>
    <xf numFmtId="164" fontId="15" fillId="0" borderId="3" xfId="1" applyNumberFormat="1" applyFont="1" applyFill="1" applyBorder="1" applyAlignment="1" applyProtection="1">
      <alignment horizontal="right" vertical="center"/>
      <protection locked="0"/>
    </xf>
    <xf numFmtId="164" fontId="26" fillId="0" borderId="2" xfId="1" applyNumberFormat="1" applyFont="1" applyBorder="1" applyAlignment="1">
      <alignment horizontal="right" vertical="center"/>
    </xf>
    <xf numFmtId="2" fontId="11" fillId="0" borderId="10" xfId="1" applyNumberFormat="1" applyFont="1" applyBorder="1" applyAlignment="1" applyProtection="1">
      <alignment horizontal="right" vertical="center"/>
      <protection locked="0"/>
    </xf>
    <xf numFmtId="2" fontId="8" fillId="0" borderId="12" xfId="1" applyNumberFormat="1" applyFont="1" applyBorder="1" applyAlignment="1" applyProtection="1">
      <alignment horizontal="right" vertical="center"/>
      <protection locked="0"/>
    </xf>
    <xf numFmtId="0" fontId="84" fillId="10" borderId="0" xfId="1" applyFont="1" applyFill="1" applyBorder="1" applyAlignment="1" applyProtection="1">
      <alignment horizontal="center" vertical="center"/>
      <protection locked="0"/>
    </xf>
    <xf numFmtId="2" fontId="18" fillId="10" borderId="1" xfId="1" applyNumberFormat="1" applyFont="1" applyFill="1" applyBorder="1" applyAlignment="1">
      <alignment horizontal="center" vertical="center"/>
    </xf>
    <xf numFmtId="2" fontId="10" fillId="0" borderId="6" xfId="1" applyNumberFormat="1" applyFont="1" applyBorder="1" applyAlignment="1" applyProtection="1">
      <alignment horizontal="right" vertical="center"/>
      <protection locked="0"/>
    </xf>
    <xf numFmtId="0" fontId="21" fillId="0" borderId="23" xfId="1" applyFont="1" applyBorder="1" applyAlignment="1" applyProtection="1">
      <alignment vertical="center"/>
      <protection locked="0"/>
    </xf>
    <xf numFmtId="14" fontId="52" fillId="0" borderId="23" xfId="0" applyNumberFormat="1" applyFont="1" applyBorder="1" applyAlignment="1" applyProtection="1">
      <alignment horizontal="left" vertical="center"/>
      <protection locked="0"/>
    </xf>
    <xf numFmtId="0" fontId="52" fillId="0" borderId="23" xfId="0" applyFont="1" applyBorder="1" applyAlignment="1" applyProtection="1">
      <alignment horizontal="left" vertical="center"/>
      <protection locked="0"/>
    </xf>
    <xf numFmtId="0" fontId="21" fillId="0" borderId="1" xfId="1" applyFont="1" applyBorder="1" applyAlignment="1" applyProtection="1">
      <alignment horizontal="lef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65" fillId="8" borderId="0" xfId="0" applyFont="1" applyFill="1" applyAlignment="1">
      <alignment horizontal="center"/>
    </xf>
    <xf numFmtId="2" fontId="40" fillId="0" borderId="18" xfId="1" applyNumberFormat="1" applyFont="1" applyBorder="1" applyAlignment="1">
      <alignment horizontal="center" vertical="center" wrapText="1"/>
    </xf>
    <xf numFmtId="2" fontId="40" fillId="0" borderId="1" xfId="1" applyNumberFormat="1" applyFont="1" applyBorder="1" applyAlignment="1">
      <alignment horizontal="center" vertical="center" wrapText="1"/>
    </xf>
    <xf numFmtId="2" fontId="40" fillId="0" borderId="2" xfId="1" applyNumberFormat="1" applyFont="1" applyBorder="1" applyAlignment="1">
      <alignment horizontal="center" vertical="center" wrapText="1"/>
    </xf>
    <xf numFmtId="2" fontId="40" fillId="0" borderId="3" xfId="1" applyNumberFormat="1" applyFont="1" applyBorder="1" applyAlignment="1">
      <alignment horizontal="center" vertical="center" wrapText="1"/>
    </xf>
  </cellXfs>
  <cellStyles count="8">
    <cellStyle name="Lien hypertexte" xfId="6" builtinId="8"/>
    <cellStyle name="Lien hypertexte 2" xfId="7" xr:uid="{00000000-0005-0000-0000-000001000000}"/>
    <cellStyle name="Normal" xfId="0" builtinId="0"/>
    <cellStyle name="Normal 2" xfId="1" xr:uid="{00000000-0005-0000-0000-000003000000}"/>
    <cellStyle name="Normal 2 2" xfId="2" xr:uid="{00000000-0005-0000-0000-000004000000}"/>
    <cellStyle name="Normal 2 3" xfId="3" xr:uid="{00000000-0005-0000-0000-000005000000}"/>
    <cellStyle name="Normal 3" xfId="4" xr:uid="{00000000-0005-0000-0000-000006000000}"/>
    <cellStyle name="Normal 3 3" xfId="5" xr:uid="{00000000-0005-0000-0000-000007000000}"/>
  </cellStyles>
  <dxfs count="0"/>
  <tableStyles count="0" defaultTableStyle="TableStyleMedium9" defaultPivotStyle="PivotStyleLight16"/>
  <colors>
    <mruColors>
      <color rgb="FFCBC0AD"/>
      <color rgb="FF4C6F6A"/>
      <color rgb="FF994F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fr-FR"/>
              <a:t>Temps de réverbération (Tr) </a:t>
            </a:r>
          </a:p>
          <a:p>
            <a:pPr>
              <a:defRPr/>
            </a:pPr>
            <a:r>
              <a:rPr lang="fr-FR"/>
              <a:t>Chiffres donnés à titre indicatif</a:t>
            </a:r>
          </a:p>
        </c:rich>
      </c:tx>
      <c:layout>
        <c:manualLayout>
          <c:xMode val="edge"/>
          <c:yMode val="edge"/>
          <c:x val="0.29247566377923873"/>
          <c:y val="8.9076514016733065E-3"/>
        </c:manualLayout>
      </c:layout>
      <c:overlay val="0"/>
    </c:title>
    <c:autoTitleDeleted val="0"/>
    <c:plotArea>
      <c:layout/>
      <c:lineChart>
        <c:grouping val="standard"/>
        <c:varyColors val="0"/>
        <c:ser>
          <c:idx val="0"/>
          <c:order val="0"/>
          <c:tx>
            <c:strRef>
              <c:f>'Doc client'!$D$59</c:f>
              <c:strCache>
                <c:ptCount val="1"/>
                <c:pt idx="0">
                  <c:v>Tr sans traitement</c:v>
                </c:pt>
              </c:strCache>
            </c:strRef>
          </c:tx>
          <c:spPr>
            <a:ln>
              <a:solidFill>
                <a:schemeClr val="tx2">
                  <a:lumMod val="75000"/>
                </a:schemeClr>
              </a:solidFill>
              <a:prstDash val="dash"/>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Datas!$I$9:$N$9</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D597-475A-AB1B-D634F409D29E}"/>
            </c:ext>
          </c:extLst>
        </c:ser>
        <c:ser>
          <c:idx val="1"/>
          <c:order val="1"/>
          <c:tx>
            <c:strRef>
              <c:f>Datas!$H$10</c:f>
              <c:strCache>
                <c:ptCount val="1"/>
                <c:pt idx="0">
                  <c:v>Tr avec traitement</c:v>
                </c:pt>
              </c:strCache>
            </c:strRef>
          </c:tx>
          <c:spPr>
            <a:ln>
              <a:solidFill>
                <a:srgbClr val="00B050"/>
              </a:solidFill>
              <a:prstDash val="solid"/>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Datas!$I$10:$N$10</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D597-475A-AB1B-D634F409D29E}"/>
            </c:ext>
          </c:extLst>
        </c:ser>
        <c:dLbls>
          <c:showLegendKey val="0"/>
          <c:showVal val="0"/>
          <c:showCatName val="0"/>
          <c:showSerName val="0"/>
          <c:showPercent val="0"/>
          <c:showBubbleSize val="0"/>
        </c:dLbls>
        <c:smooth val="0"/>
        <c:axId val="244260088"/>
        <c:axId val="244257344"/>
      </c:lineChart>
      <c:catAx>
        <c:axId val="244260088"/>
        <c:scaling>
          <c:orientation val="minMax"/>
        </c:scaling>
        <c:delete val="0"/>
        <c:axPos val="b"/>
        <c:numFmt formatCode="General" sourceLinked="1"/>
        <c:majorTickMark val="none"/>
        <c:minorTickMark val="none"/>
        <c:tickLblPos val="nextTo"/>
        <c:crossAx val="244257344"/>
        <c:crosses val="autoZero"/>
        <c:auto val="1"/>
        <c:lblAlgn val="ctr"/>
        <c:lblOffset val="100"/>
        <c:noMultiLvlLbl val="0"/>
      </c:catAx>
      <c:valAx>
        <c:axId val="244257344"/>
        <c:scaling>
          <c:orientation val="minMax"/>
        </c:scaling>
        <c:delete val="0"/>
        <c:axPos val="l"/>
        <c:majorGridlines>
          <c:spPr>
            <a:ln>
              <a:prstDash val="sysDash"/>
            </a:ln>
          </c:spPr>
        </c:majorGridlines>
        <c:numFmt formatCode="0.00" sourceLinked="1"/>
        <c:majorTickMark val="none"/>
        <c:minorTickMark val="none"/>
        <c:tickLblPos val="nextTo"/>
        <c:crossAx val="244260088"/>
        <c:crosses val="autoZero"/>
        <c:crossBetween val="between"/>
      </c:valAx>
    </c:plotArea>
    <c:legend>
      <c:legendPos val="b"/>
      <c:overlay val="0"/>
    </c:legend>
    <c:plotVisOnly val="1"/>
    <c:dispBlanksAs val="zero"/>
    <c:showDLblsOverMax val="0"/>
  </c:chart>
  <c:txPr>
    <a:bodyPr/>
    <a:lstStyle/>
    <a:p>
      <a:pPr>
        <a:defRPr>
          <a:latin typeface="AktivGrotesk-Bold" panose="020B0804020202020204" pitchFamily="34" charset="0"/>
        </a:defRPr>
      </a:pPr>
      <a:endParaRPr lang="fr-FR"/>
    </a:p>
  </c:txPr>
  <c:printSettings>
    <c:headerFooter/>
    <c:pageMargins b="0.75000000000000355" l="0.70000000000000062" r="0.70000000000000062" t="0.7500000000000035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fr-FR"/>
              <a:t>Temps de réverbération (Tr) </a:t>
            </a:r>
          </a:p>
          <a:p>
            <a:pPr>
              <a:defRPr/>
            </a:pPr>
            <a:r>
              <a:rPr lang="fr-FR"/>
              <a:t>Chiffres donnés à titre indicatif</a:t>
            </a:r>
          </a:p>
        </c:rich>
      </c:tx>
      <c:layout>
        <c:manualLayout>
          <c:xMode val="edge"/>
          <c:yMode val="edge"/>
          <c:x val="0.29247566377923873"/>
          <c:y val="8.9076514016733065E-3"/>
        </c:manualLayout>
      </c:layout>
      <c:overlay val="0"/>
    </c:title>
    <c:autoTitleDeleted val="0"/>
    <c:plotArea>
      <c:layout/>
      <c:lineChart>
        <c:grouping val="standard"/>
        <c:varyColors val="0"/>
        <c:ser>
          <c:idx val="0"/>
          <c:order val="0"/>
          <c:tx>
            <c:strRef>
              <c:f>'Notice de calcul'!$D$78</c:f>
              <c:strCache>
                <c:ptCount val="1"/>
                <c:pt idx="0">
                  <c:v>Tr sans traitement</c:v>
                </c:pt>
              </c:strCache>
            </c:strRef>
          </c:tx>
          <c:spPr>
            <a:ln>
              <a:solidFill>
                <a:schemeClr val="tx2">
                  <a:lumMod val="75000"/>
                </a:schemeClr>
              </a:solidFill>
              <a:prstDash val="dash"/>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Datas!$I$9:$N$9</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2458-4B54-ADC8-30F3F05116C5}"/>
            </c:ext>
          </c:extLst>
        </c:ser>
        <c:ser>
          <c:idx val="1"/>
          <c:order val="1"/>
          <c:tx>
            <c:strRef>
              <c:f>Datas!$H$10</c:f>
              <c:strCache>
                <c:ptCount val="1"/>
                <c:pt idx="0">
                  <c:v>Tr avec traitement</c:v>
                </c:pt>
              </c:strCache>
            </c:strRef>
          </c:tx>
          <c:spPr>
            <a:ln>
              <a:solidFill>
                <a:srgbClr val="00B050"/>
              </a:solidFill>
              <a:prstDash val="solid"/>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Datas!$I$10:$N$10</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2458-4B54-ADC8-30F3F05116C5}"/>
            </c:ext>
          </c:extLst>
        </c:ser>
        <c:dLbls>
          <c:showLegendKey val="0"/>
          <c:showVal val="0"/>
          <c:showCatName val="0"/>
          <c:showSerName val="0"/>
          <c:showPercent val="0"/>
          <c:showBubbleSize val="0"/>
        </c:dLbls>
        <c:smooth val="0"/>
        <c:axId val="244258128"/>
        <c:axId val="244264400"/>
      </c:lineChart>
      <c:catAx>
        <c:axId val="244258128"/>
        <c:scaling>
          <c:orientation val="minMax"/>
        </c:scaling>
        <c:delete val="0"/>
        <c:axPos val="b"/>
        <c:numFmt formatCode="General" sourceLinked="1"/>
        <c:majorTickMark val="none"/>
        <c:minorTickMark val="none"/>
        <c:tickLblPos val="nextTo"/>
        <c:crossAx val="244264400"/>
        <c:crosses val="autoZero"/>
        <c:auto val="1"/>
        <c:lblAlgn val="ctr"/>
        <c:lblOffset val="100"/>
        <c:noMultiLvlLbl val="0"/>
      </c:catAx>
      <c:valAx>
        <c:axId val="244264400"/>
        <c:scaling>
          <c:orientation val="minMax"/>
        </c:scaling>
        <c:delete val="0"/>
        <c:axPos val="l"/>
        <c:majorGridlines>
          <c:spPr>
            <a:ln>
              <a:prstDash val="sysDash"/>
            </a:ln>
          </c:spPr>
        </c:majorGridlines>
        <c:numFmt formatCode="0.00" sourceLinked="1"/>
        <c:majorTickMark val="none"/>
        <c:minorTickMark val="none"/>
        <c:tickLblPos val="nextTo"/>
        <c:crossAx val="244258128"/>
        <c:crosses val="autoZero"/>
        <c:crossBetween val="between"/>
      </c:valAx>
    </c:plotArea>
    <c:legend>
      <c:legendPos val="b"/>
      <c:overlay val="0"/>
    </c:legend>
    <c:plotVisOnly val="1"/>
    <c:dispBlanksAs val="zero"/>
    <c:showDLblsOverMax val="0"/>
  </c:chart>
  <c:txPr>
    <a:bodyPr/>
    <a:lstStyle/>
    <a:p>
      <a:pPr>
        <a:defRPr>
          <a:latin typeface="AktivGrotesk-Bold" panose="020B0804020202020204" pitchFamily="34" charset="0"/>
        </a:defRPr>
      </a:pPr>
      <a:endParaRPr lang="fr-FR"/>
    </a:p>
  </c:txPr>
  <c:printSettings>
    <c:headerFooter/>
    <c:pageMargins b="0.75000000000000355" l="0.70000000000000062" r="0.70000000000000062" t="0.750000000000003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Temps</a:t>
            </a:r>
            <a:r>
              <a:rPr lang="fr-FR" baseline="0"/>
              <a:t> de réverbération</a:t>
            </a:r>
            <a:endParaRPr lang="fr-FR"/>
          </a:p>
        </c:rich>
      </c:tx>
      <c:overlay val="0"/>
    </c:title>
    <c:autoTitleDeleted val="0"/>
    <c:plotArea>
      <c:layout/>
      <c:lineChart>
        <c:grouping val="standard"/>
        <c:varyColors val="0"/>
        <c:ser>
          <c:idx val="0"/>
          <c:order val="0"/>
          <c:tx>
            <c:strRef>
              <c:f>Calcul!$D$249</c:f>
              <c:strCache>
                <c:ptCount val="1"/>
                <c:pt idx="0">
                  <c:v>Tr sans traitement</c:v>
                </c:pt>
              </c:strCache>
            </c:strRef>
          </c:tx>
          <c:marker>
            <c:symbol val="none"/>
          </c:marker>
          <c:cat>
            <c:numRef>
              <c:f>Calcul!$E$235:$J$235</c:f>
              <c:numCache>
                <c:formatCode>General</c:formatCode>
                <c:ptCount val="6"/>
                <c:pt idx="0">
                  <c:v>125</c:v>
                </c:pt>
                <c:pt idx="1">
                  <c:v>250</c:v>
                </c:pt>
                <c:pt idx="2">
                  <c:v>500</c:v>
                </c:pt>
                <c:pt idx="3">
                  <c:v>1000</c:v>
                </c:pt>
                <c:pt idx="4">
                  <c:v>2000</c:v>
                </c:pt>
                <c:pt idx="5">
                  <c:v>4000</c:v>
                </c:pt>
              </c:numCache>
            </c:numRef>
          </c:cat>
          <c:val>
            <c:numRef>
              <c:f>Calcul!$E$249:$J$249</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9AC7-4A34-9A99-30135AA711F9}"/>
            </c:ext>
          </c:extLst>
        </c:ser>
        <c:ser>
          <c:idx val="1"/>
          <c:order val="1"/>
          <c:tx>
            <c:strRef>
              <c:f>Calcul!$D$254</c:f>
              <c:strCache>
                <c:ptCount val="1"/>
                <c:pt idx="0">
                  <c:v>Tr avec traitement</c:v>
                </c:pt>
              </c:strCache>
            </c:strRef>
          </c:tx>
          <c:marker>
            <c:symbol val="none"/>
          </c:marker>
          <c:val>
            <c:numRef>
              <c:f>Calcul!$E$254:$J$254</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9AC7-4A34-9A99-30135AA711F9}"/>
            </c:ext>
          </c:extLst>
        </c:ser>
        <c:dLbls>
          <c:showLegendKey val="0"/>
          <c:showVal val="0"/>
          <c:showCatName val="0"/>
          <c:showSerName val="0"/>
          <c:showPercent val="0"/>
          <c:showBubbleSize val="0"/>
        </c:dLbls>
        <c:smooth val="0"/>
        <c:axId val="244258520"/>
        <c:axId val="244260480"/>
      </c:lineChart>
      <c:catAx>
        <c:axId val="244258520"/>
        <c:scaling>
          <c:orientation val="minMax"/>
        </c:scaling>
        <c:delete val="0"/>
        <c:axPos val="b"/>
        <c:numFmt formatCode="General" sourceLinked="1"/>
        <c:majorTickMark val="none"/>
        <c:minorTickMark val="none"/>
        <c:tickLblPos val="nextTo"/>
        <c:crossAx val="244260480"/>
        <c:crosses val="autoZero"/>
        <c:auto val="1"/>
        <c:lblAlgn val="ctr"/>
        <c:lblOffset val="100"/>
        <c:noMultiLvlLbl val="0"/>
      </c:catAx>
      <c:valAx>
        <c:axId val="244260480"/>
        <c:scaling>
          <c:orientation val="minMax"/>
        </c:scaling>
        <c:delete val="0"/>
        <c:axPos val="l"/>
        <c:majorGridlines/>
        <c:title>
          <c:tx>
            <c:rich>
              <a:bodyPr/>
              <a:lstStyle/>
              <a:p>
                <a:pPr>
                  <a:defRPr/>
                </a:pPr>
                <a:r>
                  <a:rPr lang="fr-FR"/>
                  <a:t>Tr</a:t>
                </a:r>
                <a:r>
                  <a:rPr lang="fr-FR" baseline="0"/>
                  <a:t>  (s)</a:t>
                </a:r>
                <a:endParaRPr lang="fr-FR"/>
              </a:p>
            </c:rich>
          </c:tx>
          <c:overlay val="0"/>
        </c:title>
        <c:numFmt formatCode="0.00" sourceLinked="1"/>
        <c:majorTickMark val="none"/>
        <c:minorTickMark val="none"/>
        <c:tickLblPos val="nextTo"/>
        <c:crossAx val="244258520"/>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gif"/><Relationship Id="rId13" Type="http://schemas.openxmlformats.org/officeDocument/2006/relationships/image" Target="../media/image21.gif"/><Relationship Id="rId18" Type="http://schemas.openxmlformats.org/officeDocument/2006/relationships/image" Target="../media/image26.png"/><Relationship Id="rId3" Type="http://schemas.openxmlformats.org/officeDocument/2006/relationships/image" Target="../media/image11.gif"/><Relationship Id="rId21" Type="http://schemas.openxmlformats.org/officeDocument/2006/relationships/image" Target="../media/image29.png"/><Relationship Id="rId7" Type="http://schemas.openxmlformats.org/officeDocument/2006/relationships/image" Target="../media/image15.gif"/><Relationship Id="rId12" Type="http://schemas.openxmlformats.org/officeDocument/2006/relationships/image" Target="../media/image20.gif"/><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chart" Target="../charts/chart1.xml"/><Relationship Id="rId6" Type="http://schemas.openxmlformats.org/officeDocument/2006/relationships/image" Target="../media/image14.gif"/><Relationship Id="rId11" Type="http://schemas.openxmlformats.org/officeDocument/2006/relationships/image" Target="../media/image19.gif"/><Relationship Id="rId5" Type="http://schemas.openxmlformats.org/officeDocument/2006/relationships/image" Target="../media/image13.gif"/><Relationship Id="rId15" Type="http://schemas.openxmlformats.org/officeDocument/2006/relationships/image" Target="../media/image23.png"/><Relationship Id="rId10" Type="http://schemas.openxmlformats.org/officeDocument/2006/relationships/image" Target="../media/image18.gif"/><Relationship Id="rId19" Type="http://schemas.openxmlformats.org/officeDocument/2006/relationships/image" Target="../media/image27.gif"/><Relationship Id="rId4" Type="http://schemas.openxmlformats.org/officeDocument/2006/relationships/image" Target="../media/image12.gif"/><Relationship Id="rId9" Type="http://schemas.openxmlformats.org/officeDocument/2006/relationships/image" Target="../media/image17.gif"/><Relationship Id="rId14" Type="http://schemas.openxmlformats.org/officeDocument/2006/relationships/image" Target="../media/image22.gif"/></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30.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5" Type="http://schemas.openxmlformats.org/officeDocument/2006/relationships/image" Target="../media/image5.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2</xdr:row>
      <xdr:rowOff>76200</xdr:rowOff>
    </xdr:from>
    <xdr:to>
      <xdr:col>5</xdr:col>
      <xdr:colOff>63500</xdr:colOff>
      <xdr:row>9</xdr:row>
      <xdr:rowOff>191371</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485775" y="1752600"/>
          <a:ext cx="2809875" cy="202017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609600</xdr:colOff>
          <xdr:row>28</xdr:row>
          <xdr:rowOff>220980</xdr:rowOff>
        </xdr:from>
        <xdr:to>
          <xdr:col>5</xdr:col>
          <xdr:colOff>441960</xdr:colOff>
          <xdr:row>28</xdr:row>
          <xdr:rowOff>403860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83820</xdr:rowOff>
        </xdr:from>
        <xdr:to>
          <xdr:col>1</xdr:col>
          <xdr:colOff>213360</xdr:colOff>
          <xdr:row>31</xdr:row>
          <xdr:rowOff>312420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33</xdr:row>
          <xdr:rowOff>76200</xdr:rowOff>
        </xdr:from>
        <xdr:to>
          <xdr:col>1</xdr:col>
          <xdr:colOff>175260</xdr:colOff>
          <xdr:row>33</xdr:row>
          <xdr:rowOff>266700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251460</xdr:colOff>
          <xdr:row>35</xdr:row>
          <xdr:rowOff>38100</xdr:rowOff>
        </xdr:from>
        <xdr:to>
          <xdr:col>1</xdr:col>
          <xdr:colOff>480060</xdr:colOff>
          <xdr:row>35</xdr:row>
          <xdr:rowOff>289560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419100</xdr:colOff>
          <xdr:row>38</xdr:row>
          <xdr:rowOff>838200</xdr:rowOff>
        </xdr:from>
        <xdr:to>
          <xdr:col>5</xdr:col>
          <xdr:colOff>563880</xdr:colOff>
          <xdr:row>39</xdr:row>
          <xdr:rowOff>99060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251460</xdr:colOff>
          <xdr:row>42</xdr:row>
          <xdr:rowOff>685800</xdr:rowOff>
        </xdr:from>
        <xdr:to>
          <xdr:col>5</xdr:col>
          <xdr:colOff>480060</xdr:colOff>
          <xdr:row>43</xdr:row>
          <xdr:rowOff>297180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601980</xdr:colOff>
          <xdr:row>27</xdr:row>
          <xdr:rowOff>0</xdr:rowOff>
        </xdr:from>
        <xdr:to>
          <xdr:col>5</xdr:col>
          <xdr:colOff>411480</xdr:colOff>
          <xdr:row>27</xdr:row>
          <xdr:rowOff>106680</xdr:rowOff>
        </xdr:to>
        <xdr:sp macro="" textlink="">
          <xdr:nvSpPr>
            <xdr:cNvPr id="11272" name="Object 9"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w="6350">
              <a:solidFill>
                <a:srgbClr val="00000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xdr:from>
      <xdr:col>1</xdr:col>
      <xdr:colOff>104775</xdr:colOff>
      <xdr:row>3</xdr:row>
      <xdr:rowOff>57150</xdr:rowOff>
    </xdr:from>
    <xdr:to>
      <xdr:col>2</xdr:col>
      <xdr:colOff>257175</xdr:colOff>
      <xdr:row>8</xdr:row>
      <xdr:rowOff>9525</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285750" y="1924050"/>
          <a:ext cx="914400" cy="1419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cap="none" spc="0">
              <a:ln w="0"/>
              <a:solidFill>
                <a:srgbClr val="FF0000"/>
              </a:solidFill>
              <a:effectLst>
                <a:outerShdw blurRad="38100" dist="19050" dir="2700000" algn="tl" rotWithShape="0">
                  <a:schemeClr val="dk1">
                    <a:alpha val="40000"/>
                  </a:schemeClr>
                </a:outerShdw>
              </a:effectLst>
            </a:rPr>
            <a:t>Pièce</a:t>
          </a:r>
          <a:r>
            <a:rPr lang="fr-FR" sz="1100" b="1" cap="none" spc="0" baseline="0">
              <a:ln w="0"/>
              <a:solidFill>
                <a:srgbClr val="FF0000"/>
              </a:solidFill>
              <a:effectLst>
                <a:outerShdw blurRad="38100" dist="19050" dir="2700000" algn="tl" rotWithShape="0">
                  <a:schemeClr val="dk1">
                    <a:alpha val="40000"/>
                  </a:schemeClr>
                </a:outerShdw>
              </a:effectLst>
            </a:rPr>
            <a:t> A</a:t>
          </a:r>
          <a:endParaRPr lang="fr-FR" sz="1100" b="1"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2</xdr:col>
      <xdr:colOff>685800</xdr:colOff>
      <xdr:row>3</xdr:row>
      <xdr:rowOff>38100</xdr:rowOff>
    </xdr:from>
    <xdr:to>
      <xdr:col>4</xdr:col>
      <xdr:colOff>76200</xdr:colOff>
      <xdr:row>8</xdr:row>
      <xdr:rowOff>9525</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1628775" y="1905000"/>
          <a:ext cx="914400" cy="1438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cap="none" spc="0">
              <a:ln w="0"/>
              <a:solidFill>
                <a:schemeClr val="accent3"/>
              </a:solidFill>
              <a:effectLst>
                <a:outerShdw blurRad="38100" dist="19050" dir="2700000" algn="tl" rotWithShape="0">
                  <a:schemeClr val="dk1">
                    <a:alpha val="40000"/>
                  </a:schemeClr>
                </a:outerShdw>
              </a:effectLst>
            </a:rPr>
            <a:t>Pièce</a:t>
          </a:r>
          <a:r>
            <a:rPr lang="fr-FR" sz="1100" b="1" cap="none" spc="0" baseline="0">
              <a:ln w="0"/>
              <a:solidFill>
                <a:schemeClr val="accent3"/>
              </a:solidFill>
              <a:effectLst>
                <a:outerShdw blurRad="38100" dist="19050" dir="2700000" algn="tl" rotWithShape="0">
                  <a:schemeClr val="dk1">
                    <a:alpha val="40000"/>
                  </a:schemeClr>
                </a:outerShdw>
              </a:effectLst>
            </a:rPr>
            <a:t> B</a:t>
          </a:r>
          <a:endParaRPr lang="fr-FR" sz="1100" b="1" cap="none" spc="0">
            <a:ln w="0"/>
            <a:solidFill>
              <a:schemeClr val="accent3"/>
            </a:solidFill>
            <a:effectLst>
              <a:outerShdw blurRad="38100" dist="19050" dir="2700000" algn="tl" rotWithShape="0">
                <a:schemeClr val="dk1">
                  <a:alpha val="40000"/>
                </a:schemeClr>
              </a:outerShdw>
            </a:effectLst>
          </a:endParaRPr>
        </a:p>
      </xdr:txBody>
    </xdr:sp>
    <xdr:clientData/>
  </xdr:twoCellAnchor>
  <xdr:twoCellAnchor>
    <xdr:from>
      <xdr:col>1</xdr:col>
      <xdr:colOff>47625</xdr:colOff>
      <xdr:row>3</xdr:row>
      <xdr:rowOff>38100</xdr:rowOff>
    </xdr:from>
    <xdr:to>
      <xdr:col>2</xdr:col>
      <xdr:colOff>666750</xdr:colOff>
      <xdr:row>8</xdr:row>
      <xdr:rowOff>152400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28600" y="1905000"/>
          <a:ext cx="1381125" cy="1581150"/>
        </a:xfrm>
        <a:prstGeom prst="rect">
          <a:avLst/>
        </a:prstGeom>
        <a:noFill/>
        <a:ln w="19050">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695325</xdr:colOff>
      <xdr:row>3</xdr:row>
      <xdr:rowOff>28574</xdr:rowOff>
    </xdr:from>
    <xdr:to>
      <xdr:col>4</xdr:col>
      <xdr:colOff>666750</xdr:colOff>
      <xdr:row>8</xdr:row>
      <xdr:rowOff>152400</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1638300" y="1895474"/>
          <a:ext cx="1495425" cy="1590676"/>
        </a:xfrm>
        <a:prstGeom prst="rect">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389944</xdr:colOff>
      <xdr:row>14</xdr:row>
      <xdr:rowOff>484327</xdr:rowOff>
    </xdr:from>
    <xdr:to>
      <xdr:col>9</xdr:col>
      <xdr:colOff>65909</xdr:colOff>
      <xdr:row>15</xdr:row>
      <xdr:rowOff>134104</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rot="577557">
          <a:off x="5142919" y="5923102"/>
          <a:ext cx="1476190" cy="402252"/>
        </a:xfrm>
        <a:prstGeom prst="rect">
          <a:avLst/>
        </a:prstGeom>
      </xdr:spPr>
    </xdr:pic>
    <xdr:clientData/>
  </xdr:twoCellAnchor>
  <xdr:twoCellAnchor>
    <xdr:from>
      <xdr:col>5</xdr:col>
      <xdr:colOff>390525</xdr:colOff>
      <xdr:row>18</xdr:row>
      <xdr:rowOff>38100</xdr:rowOff>
    </xdr:from>
    <xdr:to>
      <xdr:col>5</xdr:col>
      <xdr:colOff>628650</xdr:colOff>
      <xdr:row>18</xdr:row>
      <xdr:rowOff>283340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3619500" y="7372350"/>
          <a:ext cx="238125" cy="245240"/>
        </a:xfrm>
        <a:prstGeom prst="rect">
          <a:avLst/>
        </a:prstGeom>
      </xdr:spPr>
    </xdr:pic>
    <xdr:clientData/>
  </xdr:twoCellAnchor>
  <xdr:twoCellAnchor>
    <xdr:from>
      <xdr:col>6</xdr:col>
      <xdr:colOff>647700</xdr:colOff>
      <xdr:row>17</xdr:row>
      <xdr:rowOff>5794</xdr:rowOff>
    </xdr:from>
    <xdr:to>
      <xdr:col>7</xdr:col>
      <xdr:colOff>123825</xdr:colOff>
      <xdr:row>17</xdr:row>
      <xdr:rowOff>247650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638675" y="7073344"/>
          <a:ext cx="238125" cy="241856"/>
        </a:xfrm>
        <a:prstGeom prst="rect">
          <a:avLst/>
        </a:prstGeom>
      </xdr:spPr>
    </xdr:pic>
    <xdr:clientData/>
  </xdr:twoCellAnchor>
  <mc:AlternateContent xmlns:mc="http://schemas.openxmlformats.org/markup-compatibility/2006">
    <mc:Choice xmlns:a14="http://schemas.microsoft.com/office/drawing/2010/main" Requires="a14">
      <xdr:twoCellAnchor>
        <xdr:from>
          <xdr:col>7</xdr:col>
          <xdr:colOff>426720</xdr:colOff>
          <xdr:row>25</xdr:row>
          <xdr:rowOff>137160</xdr:rowOff>
        </xdr:from>
        <xdr:to>
          <xdr:col>7</xdr:col>
          <xdr:colOff>655320</xdr:colOff>
          <xdr:row>26</xdr:row>
          <xdr:rowOff>266700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35</xdr:row>
          <xdr:rowOff>60960</xdr:rowOff>
        </xdr:from>
        <xdr:to>
          <xdr:col>7</xdr:col>
          <xdr:colOff>609600</xdr:colOff>
          <xdr:row>35</xdr:row>
          <xdr:rowOff>289560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93198</xdr:colOff>
      <xdr:row>64</xdr:row>
      <xdr:rowOff>195791</xdr:rowOff>
    </xdr:from>
    <xdr:to>
      <xdr:col>30</xdr:col>
      <xdr:colOff>132292</xdr:colOff>
      <xdr:row>86</xdr:row>
      <xdr:rowOff>33866</xdr:rowOff>
    </xdr:to>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12216</xdr:colOff>
      <xdr:row>36</xdr:row>
      <xdr:rowOff>56089</xdr:rowOff>
    </xdr:from>
    <xdr:to>
      <xdr:col>28</xdr:col>
      <xdr:colOff>240001</xdr:colOff>
      <xdr:row>50</xdr:row>
      <xdr:rowOff>95759</xdr:rowOff>
    </xdr:to>
    <xdr:grpSp>
      <xdr:nvGrpSpPr>
        <xdr:cNvPr id="29" name="Groupe 28">
          <a:extLst>
            <a:ext uri="{FF2B5EF4-FFF2-40B4-BE49-F238E27FC236}">
              <a16:creationId xmlns:a16="http://schemas.microsoft.com/office/drawing/2014/main" id="{00000000-0008-0000-0100-00001D000000}"/>
            </a:ext>
          </a:extLst>
        </xdr:cNvPr>
        <xdr:cNvGrpSpPr/>
      </xdr:nvGrpSpPr>
      <xdr:grpSpPr>
        <a:xfrm>
          <a:off x="156149" y="5940422"/>
          <a:ext cx="8050985" cy="2782870"/>
          <a:chOff x="74419" y="5122446"/>
          <a:chExt cx="7406681" cy="2894376"/>
        </a:xfrm>
      </xdr:grpSpPr>
      <xdr:grpSp>
        <xdr:nvGrpSpPr>
          <xdr:cNvPr id="39" name="Groupe 38">
            <a:extLst>
              <a:ext uri="{FF2B5EF4-FFF2-40B4-BE49-F238E27FC236}">
                <a16:creationId xmlns:a16="http://schemas.microsoft.com/office/drawing/2014/main" id="{00000000-0008-0000-0100-000027000000}"/>
              </a:ext>
            </a:extLst>
          </xdr:cNvPr>
          <xdr:cNvGrpSpPr/>
        </xdr:nvGrpSpPr>
        <xdr:grpSpPr>
          <a:xfrm>
            <a:off x="74419" y="5122446"/>
            <a:ext cx="7406681" cy="2894376"/>
            <a:chOff x="63836" y="5048362"/>
            <a:chExt cx="7406681" cy="2894376"/>
          </a:xfrm>
        </xdr:grpSpPr>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2291247" y="6768612"/>
              <a:ext cx="325288" cy="327768"/>
            </a:xfrm>
            <a:prstGeom prst="rect">
              <a:avLst/>
            </a:prstGeom>
          </xdr:spPr>
        </xdr:pic>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890869" y="5085581"/>
              <a:ext cx="579648" cy="353444"/>
            </a:xfrm>
            <a:prstGeom prst="rect">
              <a:avLst/>
            </a:prstGeom>
          </xdr:spPr>
        </xdr:pic>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6978531" y="5529915"/>
              <a:ext cx="375763" cy="540871"/>
            </a:xfrm>
            <a:prstGeom prst="rect">
              <a:avLst/>
            </a:prstGeom>
          </xdr:spPr>
        </xdr:pic>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a:stretch>
              <a:fillRect/>
            </a:stretch>
          </xdr:blipFill>
          <xdr:spPr>
            <a:xfrm>
              <a:off x="7020552" y="6244014"/>
              <a:ext cx="308282" cy="662049"/>
            </a:xfrm>
            <a:prstGeom prst="rect">
              <a:avLst/>
            </a:prstGeom>
          </xdr:spPr>
        </xdr:pic>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4724801" y="5233803"/>
              <a:ext cx="365321" cy="470583"/>
            </a:xfrm>
            <a:prstGeom prst="rect">
              <a:avLst/>
            </a:prstGeom>
          </xdr:spPr>
        </xdr:pic>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4608881" y="5772554"/>
              <a:ext cx="627987" cy="323850"/>
            </a:xfrm>
            <a:prstGeom prst="rect">
              <a:avLst/>
            </a:prstGeom>
          </xdr:spPr>
        </xdr:pic>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2293235" y="7154579"/>
              <a:ext cx="302566" cy="364725"/>
            </a:xfrm>
            <a:prstGeom prst="rect">
              <a:avLst/>
            </a:prstGeom>
          </xdr:spPr>
        </xdr:pic>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stretch>
              <a:fillRect/>
            </a:stretch>
          </xdr:blipFill>
          <xdr:spPr>
            <a:xfrm>
              <a:off x="2307680" y="6313969"/>
              <a:ext cx="327842" cy="360018"/>
            </a:xfrm>
            <a:prstGeom prst="rect">
              <a:avLst/>
            </a:prstGeom>
          </xdr:spPr>
        </xdr:pic>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a:stretch>
              <a:fillRect/>
            </a:stretch>
          </xdr:blipFill>
          <xdr:spPr>
            <a:xfrm>
              <a:off x="2283845" y="5878961"/>
              <a:ext cx="371475" cy="371475"/>
            </a:xfrm>
            <a:prstGeom prst="rect">
              <a:avLst/>
            </a:prstGeom>
          </xdr:spPr>
        </xdr:pic>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1"/>
            <a:stretch>
              <a:fillRect/>
            </a:stretch>
          </xdr:blipFill>
          <xdr:spPr>
            <a:xfrm>
              <a:off x="2297051" y="5466548"/>
              <a:ext cx="416016" cy="350482"/>
            </a:xfrm>
            <a:prstGeom prst="rect">
              <a:avLst/>
            </a:prstGeom>
          </xdr:spPr>
        </xdr:pic>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2"/>
            <a:stretch>
              <a:fillRect/>
            </a:stretch>
          </xdr:blipFill>
          <xdr:spPr>
            <a:xfrm>
              <a:off x="2311434" y="5048362"/>
              <a:ext cx="332102" cy="317007"/>
            </a:xfrm>
            <a:prstGeom prst="rect">
              <a:avLst/>
            </a:prstGeom>
          </xdr:spPr>
        </xdr:pic>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
            <a:stretch>
              <a:fillRect/>
            </a:stretch>
          </xdr:blipFill>
          <xdr:spPr>
            <a:xfrm>
              <a:off x="63836" y="5219645"/>
              <a:ext cx="387546" cy="451472"/>
            </a:xfrm>
            <a:prstGeom prst="rect">
              <a:avLst/>
            </a:prstGeom>
          </xdr:spPr>
        </xdr:pic>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4"/>
            <a:stretch>
              <a:fillRect/>
            </a:stretch>
          </xdr:blipFill>
          <xdr:spPr>
            <a:xfrm>
              <a:off x="81886" y="6689283"/>
              <a:ext cx="548704" cy="414022"/>
            </a:xfrm>
            <a:prstGeom prst="rect">
              <a:avLst/>
            </a:prstGeom>
          </xdr:spPr>
        </xdr:pic>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5"/>
            <a:stretch>
              <a:fillRect/>
            </a:stretch>
          </xdr:blipFill>
          <xdr:spPr>
            <a:xfrm>
              <a:off x="4580466" y="6568903"/>
              <a:ext cx="660646" cy="331611"/>
            </a:xfrm>
            <a:prstGeom prst="rect">
              <a:avLst/>
            </a:prstGeom>
          </xdr:spPr>
        </xdr:pic>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6"/>
            <a:stretch>
              <a:fillRect/>
            </a:stretch>
          </xdr:blipFill>
          <xdr:spPr>
            <a:xfrm>
              <a:off x="2292632" y="7567406"/>
              <a:ext cx="293229" cy="375332"/>
            </a:xfrm>
            <a:prstGeom prst="rect">
              <a:avLst/>
            </a:prstGeom>
          </xdr:spPr>
        </xdr:pic>
      </xdr:grpSp>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a:stretch>
            <a:fillRect/>
          </a:stretch>
        </xdr:blipFill>
        <xdr:spPr>
          <a:xfrm>
            <a:off x="4612835" y="7206917"/>
            <a:ext cx="641092" cy="380952"/>
          </a:xfrm>
          <a:prstGeom prst="rect">
            <a:avLst/>
          </a:prstGeom>
        </xdr:spPr>
      </xdr:pic>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8"/>
          <a:stretch>
            <a:fillRect/>
          </a:stretch>
        </xdr:blipFill>
        <xdr:spPr>
          <a:xfrm>
            <a:off x="7022628" y="7151289"/>
            <a:ext cx="346946" cy="442187"/>
          </a:xfrm>
          <a:prstGeom prst="rect">
            <a:avLst/>
          </a:prstGeom>
        </xdr:spPr>
      </xdr:pic>
    </xdr:grpSp>
    <xdr:clientData/>
  </xdr:twoCellAnchor>
  <xdr:twoCellAnchor editAs="oneCell">
    <xdr:from>
      <xdr:col>27</xdr:col>
      <xdr:colOff>9526</xdr:colOff>
      <xdr:row>49</xdr:row>
      <xdr:rowOff>36596</xdr:rowOff>
    </xdr:from>
    <xdr:to>
      <xdr:col>28</xdr:col>
      <xdr:colOff>161925</xdr:colOff>
      <xdr:row>51</xdr:row>
      <xdr:rowOff>105833</xdr:rowOff>
    </xdr:to>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9"/>
        <a:stretch>
          <a:fillRect/>
        </a:stretch>
      </xdr:blipFill>
      <xdr:spPr>
        <a:xfrm>
          <a:off x="7968193" y="8640846"/>
          <a:ext cx="389465" cy="486220"/>
        </a:xfrm>
        <a:prstGeom prst="rect">
          <a:avLst/>
        </a:prstGeom>
      </xdr:spPr>
    </xdr:pic>
    <xdr:clientData/>
  </xdr:twoCellAnchor>
  <xdr:twoCellAnchor editAs="oneCell">
    <xdr:from>
      <xdr:col>2</xdr:col>
      <xdr:colOff>0</xdr:colOff>
      <xdr:row>2</xdr:row>
      <xdr:rowOff>87841</xdr:rowOff>
    </xdr:from>
    <xdr:to>
      <xdr:col>5</xdr:col>
      <xdr:colOff>694266</xdr:colOff>
      <xdr:row>3</xdr:row>
      <xdr:rowOff>333524</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6917" y="299508"/>
          <a:ext cx="1418166" cy="545191"/>
        </a:xfrm>
        <a:prstGeom prst="rect">
          <a:avLst/>
        </a:prstGeom>
      </xdr:spPr>
    </xdr:pic>
    <xdr:clientData/>
  </xdr:twoCellAnchor>
  <xdr:twoCellAnchor editAs="oneCell">
    <xdr:from>
      <xdr:col>27</xdr:col>
      <xdr:colOff>63500</xdr:colOff>
      <xdr:row>58</xdr:row>
      <xdr:rowOff>190501</xdr:rowOff>
    </xdr:from>
    <xdr:to>
      <xdr:col>32</xdr:col>
      <xdr:colOff>7409</xdr:colOff>
      <xdr:row>61</xdr:row>
      <xdr:rowOff>105017</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429500" y="9535584"/>
          <a:ext cx="1357842" cy="528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56323</xdr:colOff>
      <xdr:row>45</xdr:row>
      <xdr:rowOff>67009</xdr:rowOff>
    </xdr:from>
    <xdr:to>
      <xdr:col>32</xdr:col>
      <xdr:colOff>46956</xdr:colOff>
      <xdr:row>46</xdr:row>
      <xdr:rowOff>112579</xdr:rowOff>
    </xdr:to>
    <xdr:sp macro="" textlink="">
      <xdr:nvSpPr>
        <xdr:cNvPr id="4" name="Flèche droite 3">
          <a:extLst>
            <a:ext uri="{FF2B5EF4-FFF2-40B4-BE49-F238E27FC236}">
              <a16:creationId xmlns:a16="http://schemas.microsoft.com/office/drawing/2014/main" id="{00000000-0008-0000-0200-000004000000}"/>
            </a:ext>
          </a:extLst>
        </xdr:cNvPr>
        <xdr:cNvSpPr/>
      </xdr:nvSpPr>
      <xdr:spPr>
        <a:xfrm>
          <a:off x="6643612" y="5711825"/>
          <a:ext cx="1013318" cy="226043"/>
        </a:xfrm>
        <a:prstGeom prst="rightArrow">
          <a:avLst/>
        </a:prstGeom>
        <a:solidFill>
          <a:srgbClr val="4C6F6A"/>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fr-FR" sz="1100"/>
        </a:p>
      </xdr:txBody>
    </xdr:sp>
    <xdr:clientData/>
  </xdr:twoCellAnchor>
  <xdr:twoCellAnchor>
    <xdr:from>
      <xdr:col>2</xdr:col>
      <xdr:colOff>10648</xdr:colOff>
      <xdr:row>84</xdr:row>
      <xdr:rowOff>48022</xdr:rowOff>
    </xdr:from>
    <xdr:to>
      <xdr:col>34</xdr:col>
      <xdr:colOff>12248</xdr:colOff>
      <xdr:row>112</xdr:row>
      <xdr:rowOff>161924</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67007</xdr:colOff>
      <xdr:row>2</xdr:row>
      <xdr:rowOff>60158</xdr:rowOff>
    </xdr:from>
    <xdr:to>
      <xdr:col>8</xdr:col>
      <xdr:colOff>47567</xdr:colOff>
      <xdr:row>3</xdr:row>
      <xdr:rowOff>274517</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586" y="280737"/>
          <a:ext cx="1367367" cy="528350"/>
        </a:xfrm>
        <a:prstGeom prst="rect">
          <a:avLst/>
        </a:prstGeom>
      </xdr:spPr>
    </xdr:pic>
    <xdr:clientData/>
  </xdr:twoCellAnchor>
  <xdr:twoCellAnchor editAs="oneCell">
    <xdr:from>
      <xdr:col>30</xdr:col>
      <xdr:colOff>116641</xdr:colOff>
      <xdr:row>78</xdr:row>
      <xdr:rowOff>20053</xdr:rowOff>
    </xdr:from>
    <xdr:to>
      <xdr:col>34</xdr:col>
      <xdr:colOff>194423</xdr:colOff>
      <xdr:row>80</xdr:row>
      <xdr:rowOff>154202</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04983" y="12111790"/>
          <a:ext cx="1348317" cy="525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168275</xdr:colOff>
      <xdr:row>234</xdr:row>
      <xdr:rowOff>146050</xdr:rowOff>
    </xdr:from>
    <xdr:to>
      <xdr:col>24</xdr:col>
      <xdr:colOff>333375</xdr:colOff>
      <xdr:row>252</xdr:row>
      <xdr:rowOff>142875</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FICE03\Communs\Projets_PRODUITS\2_PROJETS_EN-COURS\1303_Baffles-Acoustique\13038_Industrialisation\13030808_Devis\140513_1734_Fiche%20Devis%20MY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alcul"/>
      <sheetName val="Objectif"/>
      <sheetName val="Liste"/>
      <sheetName val="Feuil3"/>
      <sheetName val="Datas"/>
    </sheetNames>
    <sheetDataSet>
      <sheetData sheetId="0"/>
      <sheetData sheetId="1"/>
      <sheetData sheetId="2"/>
      <sheetData sheetId="3">
        <row r="2">
          <cell r="C2" t="str">
            <v>Salle de réunion / formation</v>
          </cell>
        </row>
        <row r="3">
          <cell r="C3" t="str">
            <v>Bureau individuel</v>
          </cell>
        </row>
        <row r="4">
          <cell r="C4" t="str">
            <v>Bureaux collectifs</v>
          </cell>
        </row>
        <row r="5">
          <cell r="C5" t="str">
            <v>Espace ouvert</v>
          </cell>
        </row>
        <row r="6">
          <cell r="C6" t="str">
            <v>Restaurant / cafétéria</v>
          </cell>
        </row>
        <row r="9">
          <cell r="C9" t="str">
            <v>Réunion / formation</v>
          </cell>
        </row>
        <row r="10">
          <cell r="C10" t="str">
            <v>travail individuel</v>
          </cell>
        </row>
        <row r="11">
          <cell r="C11" t="str">
            <v>travail collectif</v>
          </cell>
        </row>
        <row r="12">
          <cell r="C12" t="str">
            <v>téléphonique</v>
          </cell>
        </row>
        <row r="13">
          <cell r="C13" t="str">
            <v>Restauration</v>
          </cell>
        </row>
        <row r="16">
          <cell r="C16">
            <v>0</v>
          </cell>
          <cell r="D16">
            <v>1</v>
          </cell>
          <cell r="E16">
            <v>2</v>
          </cell>
          <cell r="F16">
            <v>3</v>
          </cell>
          <cell r="G16">
            <v>4</v>
          </cell>
          <cell r="H16">
            <v>5</v>
          </cell>
          <cell r="I16">
            <v>6</v>
          </cell>
          <cell r="J16">
            <v>7</v>
          </cell>
          <cell r="K16">
            <v>8</v>
          </cell>
          <cell r="L16">
            <v>9</v>
          </cell>
          <cell r="M16">
            <v>10</v>
          </cell>
          <cell r="N16">
            <v>11</v>
          </cell>
          <cell r="O16">
            <v>12</v>
          </cell>
          <cell r="P16">
            <v>13</v>
          </cell>
          <cell r="Q16">
            <v>14</v>
          </cell>
          <cell r="R16">
            <v>15</v>
          </cell>
          <cell r="S16">
            <v>16</v>
          </cell>
          <cell r="T16">
            <v>17</v>
          </cell>
          <cell r="U16">
            <v>18</v>
          </cell>
          <cell r="V16">
            <v>19</v>
          </cell>
          <cell r="W16">
            <v>20</v>
          </cell>
          <cell r="X16">
            <v>21</v>
          </cell>
          <cell r="Y16">
            <v>22</v>
          </cell>
          <cell r="Z16">
            <v>23</v>
          </cell>
          <cell r="AA16">
            <v>24</v>
          </cell>
          <cell r="AB16">
            <v>25</v>
          </cell>
          <cell r="AC16">
            <v>26</v>
          </cell>
          <cell r="AD16">
            <v>27</v>
          </cell>
          <cell r="AE16">
            <v>28</v>
          </cell>
          <cell r="AF16">
            <v>29</v>
          </cell>
          <cell r="AG16">
            <v>30</v>
          </cell>
        </row>
      </sheetData>
      <sheetData sheetId="4"/>
      <sheetData sheetId="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6.bin"/><Relationship Id="rId18" Type="http://schemas.openxmlformats.org/officeDocument/2006/relationships/oleObject" Target="../embeddings/oleObject9.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3.wmf"/><Relationship Id="rId17" Type="http://schemas.openxmlformats.org/officeDocument/2006/relationships/oleObject" Target="../embeddings/oleObject8.bin"/><Relationship Id="rId2" Type="http://schemas.openxmlformats.org/officeDocument/2006/relationships/printerSettings" Target="../printerSettings/printerSettings1.bin"/><Relationship Id="rId16" Type="http://schemas.openxmlformats.org/officeDocument/2006/relationships/image" Target="../media/image5.wmf"/><Relationship Id="rId1" Type="http://schemas.openxmlformats.org/officeDocument/2006/relationships/hyperlink" Target="https://www.myo.fr/lefficacite-de-nos-solutions-acoustiques-myo/" TargetMode="External"/><Relationship Id="rId6" Type="http://schemas.openxmlformats.org/officeDocument/2006/relationships/image" Target="../media/image1.wmf"/><Relationship Id="rId11" Type="http://schemas.openxmlformats.org/officeDocument/2006/relationships/oleObject" Target="../embeddings/oleObject5.bin"/><Relationship Id="rId5" Type="http://schemas.openxmlformats.org/officeDocument/2006/relationships/oleObject" Target="../embeddings/oleObject1.bin"/><Relationship Id="rId15" Type="http://schemas.openxmlformats.org/officeDocument/2006/relationships/oleObject" Target="../embeddings/oleObject7.bin"/><Relationship Id="rId10" Type="http://schemas.openxmlformats.org/officeDocument/2006/relationships/oleObject" Target="../embeddings/oleObject4.bin"/><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image" Target="../media/image4.w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vippolito@hoyez.com" TargetMode="External"/><Relationship Id="rId3" Type="http://schemas.openxmlformats.org/officeDocument/2006/relationships/hyperlink" Target="mailto:ssakoun@hoyez.com" TargetMode="External"/><Relationship Id="rId7" Type="http://schemas.openxmlformats.org/officeDocument/2006/relationships/hyperlink" Target="mailto:adecoquereaumont@hoyez.com" TargetMode="External"/><Relationship Id="rId12" Type="http://schemas.openxmlformats.org/officeDocument/2006/relationships/hyperlink" Target="mailto:tbourgeat@hoyez.com" TargetMode="External"/><Relationship Id="rId2" Type="http://schemas.openxmlformats.org/officeDocument/2006/relationships/hyperlink" Target="mailto:lvandenbroucke@hoyez.com" TargetMode="External"/><Relationship Id="rId1" Type="http://schemas.openxmlformats.org/officeDocument/2006/relationships/hyperlink" Target="mailto:fgregoire@hoyez.com" TargetMode="External"/><Relationship Id="rId6" Type="http://schemas.openxmlformats.org/officeDocument/2006/relationships/hyperlink" Target="mailto:csailly@my-openspace.com" TargetMode="External"/><Relationship Id="rId11" Type="http://schemas.openxmlformats.org/officeDocument/2006/relationships/hyperlink" Target="mailto:cmoncorge@hoyez.com" TargetMode="External"/><Relationship Id="rId5" Type="http://schemas.openxmlformats.org/officeDocument/2006/relationships/hyperlink" Target="mailto:ecatherine@my-openspace.com" TargetMode="External"/><Relationship Id="rId10" Type="http://schemas.openxmlformats.org/officeDocument/2006/relationships/hyperlink" Target="mailto:epeltier@hoyez.com" TargetMode="External"/><Relationship Id="rId4" Type="http://schemas.openxmlformats.org/officeDocument/2006/relationships/hyperlink" Target="mailto:ssonnier@my-openspace.com" TargetMode="External"/><Relationship Id="rId9" Type="http://schemas.openxmlformats.org/officeDocument/2006/relationships/hyperlink" Target="mailto:imussy@myo.f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R49"/>
  <sheetViews>
    <sheetView showGridLines="0" workbookViewId="0">
      <selection activeCell="B58" sqref="B58"/>
    </sheetView>
  </sheetViews>
  <sheetFormatPr baseColWidth="10" defaultRowHeight="13.2"/>
  <cols>
    <col min="1" max="1" width="2.6640625" customWidth="1"/>
    <col min="9" max="9" width="16.6640625" customWidth="1"/>
    <col min="10" max="10" width="2.6640625" customWidth="1"/>
    <col min="17" max="17" width="45.5546875" customWidth="1"/>
  </cols>
  <sheetData>
    <row r="1" spans="1:10" ht="20.399999999999999">
      <c r="B1" s="394" t="s">
        <v>337</v>
      </c>
      <c r="C1" s="395"/>
      <c r="D1" s="395"/>
      <c r="E1" s="395"/>
      <c r="F1" s="395"/>
      <c r="G1" s="395"/>
      <c r="H1" s="395"/>
      <c r="I1" s="395"/>
      <c r="J1" s="395"/>
    </row>
    <row r="2" spans="1:10" ht="126.6" customHeight="1">
      <c r="B2" s="410" t="s">
        <v>398</v>
      </c>
      <c r="C2" s="411"/>
      <c r="D2" s="411"/>
      <c r="E2" s="411"/>
      <c r="F2" s="411"/>
      <c r="G2" s="411"/>
      <c r="H2" s="411"/>
      <c r="I2" s="411"/>
      <c r="J2" s="273"/>
    </row>
    <row r="3" spans="1:10" ht="14.4">
      <c r="B3" s="370"/>
      <c r="C3" s="371"/>
      <c r="D3" s="371"/>
      <c r="E3" s="371"/>
      <c r="F3" s="396" t="s">
        <v>341</v>
      </c>
      <c r="G3" s="397"/>
      <c r="H3" s="397"/>
      <c r="I3" s="397"/>
    </row>
    <row r="4" spans="1:10" ht="13.8">
      <c r="B4" s="371"/>
      <c r="C4" s="371"/>
      <c r="D4" s="371"/>
      <c r="E4" s="371"/>
      <c r="F4" s="397"/>
      <c r="G4" s="397"/>
      <c r="H4" s="397"/>
      <c r="I4" s="397"/>
    </row>
    <row r="5" spans="1:10" ht="60.75" customHeight="1">
      <c r="B5" s="372"/>
      <c r="C5" s="371"/>
      <c r="D5" s="371"/>
      <c r="E5" s="371"/>
      <c r="F5" s="397"/>
      <c r="G5" s="397"/>
      <c r="H5" s="397"/>
      <c r="I5" s="397"/>
    </row>
    <row r="6" spans="1:10" ht="14.4">
      <c r="B6" s="372"/>
      <c r="C6" s="371"/>
      <c r="D6" s="371"/>
      <c r="E6" s="371"/>
      <c r="F6" s="397"/>
      <c r="G6" s="397"/>
      <c r="H6" s="397"/>
      <c r="I6" s="397"/>
    </row>
    <row r="7" spans="1:10" ht="13.8">
      <c r="B7" s="371"/>
      <c r="C7" s="371"/>
      <c r="D7" s="371"/>
      <c r="E7" s="371"/>
      <c r="F7" s="397"/>
      <c r="G7" s="397"/>
      <c r="H7" s="397"/>
      <c r="I7" s="397"/>
    </row>
    <row r="8" spans="1:10" ht="13.8">
      <c r="B8" s="371"/>
      <c r="C8" s="371"/>
      <c r="D8" s="371"/>
      <c r="E8" s="371"/>
      <c r="F8" s="397"/>
      <c r="G8" s="397"/>
      <c r="H8" s="397"/>
      <c r="I8" s="397"/>
    </row>
    <row r="9" spans="1:10" ht="19.5" customHeight="1">
      <c r="B9" s="371"/>
      <c r="C9" s="371"/>
      <c r="D9" s="371"/>
      <c r="E9" s="371"/>
      <c r="F9" s="371"/>
      <c r="G9" s="371"/>
      <c r="H9" s="371"/>
      <c r="I9" s="371"/>
    </row>
    <row r="10" spans="1:10" ht="36.75" customHeight="1" thickBot="1">
      <c r="B10" s="372" t="s">
        <v>338</v>
      </c>
      <c r="C10" s="371"/>
      <c r="D10" s="371"/>
      <c r="E10" s="371"/>
      <c r="F10" s="371"/>
      <c r="G10" s="371"/>
      <c r="H10" s="371"/>
      <c r="I10" s="373"/>
    </row>
    <row r="11" spans="1:10" ht="57" customHeight="1" thickBot="1">
      <c r="A11" s="335"/>
      <c r="B11" s="412" t="s">
        <v>399</v>
      </c>
      <c r="C11" s="413"/>
      <c r="D11" s="413"/>
      <c r="E11" s="413"/>
      <c r="F11" s="413"/>
      <c r="G11" s="413"/>
      <c r="H11" s="413"/>
      <c r="I11" s="414"/>
    </row>
    <row r="12" spans="1:10" ht="6" customHeight="1" thickBot="1">
      <c r="B12" s="374"/>
      <c r="C12" s="375"/>
      <c r="D12" s="375"/>
      <c r="E12" s="375"/>
      <c r="F12" s="375"/>
      <c r="G12" s="375"/>
      <c r="H12" s="375"/>
      <c r="I12" s="376"/>
    </row>
    <row r="13" spans="1:10" ht="42" customHeight="1" thickBot="1">
      <c r="A13" s="334"/>
      <c r="B13" s="415" t="s">
        <v>400</v>
      </c>
      <c r="C13" s="416"/>
      <c r="D13" s="416"/>
      <c r="E13" s="416"/>
      <c r="F13" s="416"/>
      <c r="G13" s="416"/>
      <c r="H13" s="416"/>
      <c r="I13" s="416"/>
      <c r="J13" s="333"/>
    </row>
    <row r="14" spans="1:10" ht="4.5" customHeight="1">
      <c r="B14" s="373"/>
      <c r="C14" s="373"/>
      <c r="D14" s="373"/>
      <c r="E14" s="373"/>
      <c r="F14" s="373"/>
      <c r="G14" s="373"/>
      <c r="H14" s="373"/>
      <c r="I14" s="373"/>
    </row>
    <row r="15" spans="1:10" ht="59.25" customHeight="1">
      <c r="B15" s="417" t="s">
        <v>342</v>
      </c>
      <c r="C15" s="418"/>
      <c r="D15" s="418"/>
      <c r="E15" s="418"/>
      <c r="F15" s="418"/>
      <c r="G15" s="418"/>
      <c r="H15" s="418"/>
      <c r="I15" s="418"/>
    </row>
    <row r="16" spans="1:10" ht="20.399999999999999">
      <c r="B16" s="394" t="s">
        <v>331</v>
      </c>
      <c r="C16" s="395"/>
      <c r="D16" s="395"/>
      <c r="E16" s="395"/>
      <c r="F16" s="395"/>
      <c r="G16" s="395"/>
      <c r="H16" s="395"/>
      <c r="I16" s="395"/>
      <c r="J16" s="395"/>
    </row>
    <row r="17" spans="2:18" ht="41.25" customHeight="1">
      <c r="B17" s="402" t="s">
        <v>343</v>
      </c>
      <c r="C17" s="419"/>
      <c r="D17" s="419"/>
      <c r="E17" s="419"/>
      <c r="F17" s="419"/>
      <c r="G17" s="419"/>
      <c r="H17" s="419"/>
      <c r="I17" s="419"/>
      <c r="K17" s="420"/>
      <c r="L17" s="421"/>
      <c r="M17" s="421"/>
      <c r="N17" s="421"/>
      <c r="O17" s="421"/>
      <c r="P17" s="421"/>
      <c r="Q17" s="421"/>
      <c r="R17" s="421"/>
    </row>
    <row r="18" spans="2:18" ht="21" customHeight="1">
      <c r="B18" s="377"/>
      <c r="C18" s="378" t="s">
        <v>339</v>
      </c>
      <c r="D18" s="371"/>
      <c r="E18" s="371"/>
      <c r="F18" s="371"/>
      <c r="G18" s="371"/>
      <c r="H18" s="371"/>
      <c r="I18" s="371"/>
    </row>
    <row r="19" spans="2:18" ht="22.5" customHeight="1">
      <c r="B19" s="379"/>
      <c r="C19" s="380" t="s">
        <v>340</v>
      </c>
      <c r="D19" s="371"/>
      <c r="E19" s="371"/>
      <c r="F19" s="371"/>
      <c r="G19" s="371"/>
      <c r="H19" s="371"/>
      <c r="I19" s="371"/>
    </row>
    <row r="20" spans="2:18" ht="60.75" customHeight="1">
      <c r="B20" s="402" t="s">
        <v>401</v>
      </c>
      <c r="C20" s="419"/>
      <c r="D20" s="419"/>
      <c r="E20" s="419"/>
      <c r="F20" s="419"/>
      <c r="G20" s="419"/>
      <c r="H20" s="419"/>
      <c r="I20" s="419"/>
    </row>
    <row r="21" spans="2:18" ht="6.75" customHeight="1">
      <c r="B21" s="409"/>
      <c r="C21" s="403"/>
      <c r="D21" s="403"/>
      <c r="E21" s="403"/>
      <c r="F21" s="403"/>
      <c r="G21" s="403"/>
      <c r="H21" s="403"/>
      <c r="I21" s="403"/>
    </row>
    <row r="22" spans="2:18" ht="71.25" customHeight="1">
      <c r="B22" s="402" t="s">
        <v>351</v>
      </c>
      <c r="C22" s="419"/>
      <c r="D22" s="419"/>
      <c r="E22" s="419"/>
      <c r="F22" s="419"/>
      <c r="G22" s="419"/>
      <c r="H22" s="419"/>
      <c r="I22" s="419"/>
    </row>
    <row r="23" spans="2:18" ht="34.200000000000003" customHeight="1">
      <c r="B23" s="381" t="s">
        <v>345</v>
      </c>
      <c r="C23" s="382"/>
      <c r="D23" s="371"/>
      <c r="E23" s="371"/>
      <c r="F23" s="423" t="s">
        <v>344</v>
      </c>
      <c r="G23" s="423"/>
      <c r="H23" s="423"/>
      <c r="I23" s="423"/>
    </row>
    <row r="24" spans="2:18" ht="11.25" customHeight="1">
      <c r="B24" s="371"/>
      <c r="C24" s="371"/>
      <c r="D24" s="371"/>
      <c r="E24" s="371"/>
      <c r="F24" s="371"/>
      <c r="G24" s="371"/>
      <c r="H24" s="371"/>
      <c r="I24" s="371"/>
    </row>
    <row r="25" spans="2:18" ht="22.5" customHeight="1">
      <c r="B25" s="394" t="s">
        <v>332</v>
      </c>
      <c r="C25" s="395"/>
      <c r="D25" s="395"/>
      <c r="E25" s="395"/>
      <c r="F25" s="395"/>
      <c r="G25" s="395"/>
      <c r="H25" s="395"/>
      <c r="I25" s="395"/>
    </row>
    <row r="26" spans="2:18" ht="11.25" customHeight="1">
      <c r="B26" s="422"/>
      <c r="C26" s="403"/>
      <c r="D26" s="403"/>
      <c r="E26" s="403"/>
      <c r="F26" s="403"/>
      <c r="G26" s="403"/>
      <c r="H26" s="403"/>
      <c r="I26" s="403"/>
    </row>
    <row r="27" spans="2:18" ht="22.5" customHeight="1">
      <c r="B27" s="404" t="s">
        <v>346</v>
      </c>
      <c r="C27" s="408"/>
      <c r="D27" s="408"/>
      <c r="E27" s="408"/>
      <c r="F27" s="408"/>
      <c r="G27" s="408"/>
      <c r="H27" s="408"/>
      <c r="I27" s="408"/>
    </row>
    <row r="28" spans="2:18" ht="5.25" customHeight="1">
      <c r="B28" s="377"/>
      <c r="C28" s="371"/>
      <c r="D28" s="371"/>
      <c r="E28" s="371"/>
      <c r="F28" s="371"/>
      <c r="G28" s="371"/>
      <c r="H28" s="371"/>
      <c r="I28" s="371"/>
    </row>
    <row r="29" spans="2:18" ht="35.25" customHeight="1">
      <c r="B29" s="409" t="s">
        <v>333</v>
      </c>
      <c r="C29" s="403"/>
      <c r="D29" s="403"/>
      <c r="E29" s="403"/>
      <c r="F29" s="403"/>
      <c r="G29" s="403"/>
      <c r="H29" s="403"/>
      <c r="I29" s="403"/>
    </row>
    <row r="30" spans="2:18" ht="5.25" customHeight="1">
      <c r="B30" s="377"/>
      <c r="C30" s="371"/>
      <c r="D30" s="371"/>
      <c r="E30" s="371"/>
      <c r="F30" s="371"/>
      <c r="G30" s="371"/>
      <c r="H30" s="371"/>
      <c r="I30" s="371"/>
    </row>
    <row r="31" spans="2:18" ht="34.5" customHeight="1">
      <c r="B31" s="409" t="s">
        <v>334</v>
      </c>
      <c r="C31" s="403"/>
      <c r="D31" s="403"/>
      <c r="E31" s="403"/>
      <c r="F31" s="403"/>
      <c r="G31" s="403"/>
      <c r="H31" s="403"/>
      <c r="I31" s="403"/>
    </row>
    <row r="32" spans="2:18" ht="47.25" customHeight="1">
      <c r="B32" s="409" t="s">
        <v>347</v>
      </c>
      <c r="C32" s="403"/>
      <c r="D32" s="403"/>
      <c r="E32" s="403"/>
      <c r="F32" s="403"/>
      <c r="G32" s="403"/>
      <c r="H32" s="403"/>
      <c r="I32" s="403"/>
    </row>
    <row r="33" spans="2:10" ht="18" customHeight="1">
      <c r="B33" s="409" t="s">
        <v>335</v>
      </c>
      <c r="C33" s="403"/>
      <c r="D33" s="403"/>
      <c r="E33" s="403"/>
      <c r="F33" s="403"/>
      <c r="G33" s="403"/>
      <c r="H33" s="403"/>
      <c r="I33" s="403"/>
    </row>
    <row r="34" spans="2:10" ht="27" customHeight="1">
      <c r="B34" s="409" t="s">
        <v>348</v>
      </c>
      <c r="C34" s="403"/>
      <c r="D34" s="403"/>
      <c r="E34" s="403"/>
      <c r="F34" s="403"/>
      <c r="G34" s="403"/>
      <c r="H34" s="403"/>
      <c r="I34" s="403"/>
    </row>
    <row r="35" spans="2:10" ht="11.25" customHeight="1">
      <c r="B35" s="406"/>
      <c r="C35" s="403"/>
      <c r="D35" s="403"/>
      <c r="E35" s="403"/>
      <c r="F35" s="403"/>
      <c r="G35" s="403"/>
      <c r="H35" s="403"/>
      <c r="I35" s="403"/>
    </row>
    <row r="36" spans="2:10" ht="27.75" customHeight="1">
      <c r="B36" s="406" t="s">
        <v>402</v>
      </c>
      <c r="C36" s="403"/>
      <c r="D36" s="403"/>
      <c r="E36" s="403"/>
      <c r="F36" s="403"/>
      <c r="G36" s="403"/>
      <c r="H36" s="403"/>
      <c r="I36" s="403"/>
    </row>
    <row r="37" spans="2:10" ht="17.25" customHeight="1">
      <c r="B37" s="407"/>
      <c r="C37" s="403"/>
      <c r="D37" s="403"/>
      <c r="E37" s="403"/>
      <c r="F37" s="403"/>
      <c r="G37" s="403"/>
      <c r="H37" s="403"/>
      <c r="I37" s="403"/>
    </row>
    <row r="38" spans="2:10" ht="23.25" customHeight="1">
      <c r="B38" s="404" t="s">
        <v>349</v>
      </c>
      <c r="C38" s="408"/>
      <c r="D38" s="408"/>
      <c r="E38" s="408"/>
      <c r="F38" s="408"/>
      <c r="G38" s="408"/>
      <c r="H38" s="408"/>
      <c r="I38" s="408"/>
    </row>
    <row r="39" spans="2:10" ht="82.5" customHeight="1">
      <c r="B39" s="402" t="s">
        <v>403</v>
      </c>
      <c r="C39" s="403"/>
      <c r="D39" s="403"/>
      <c r="E39" s="403"/>
      <c r="F39" s="403"/>
      <c r="G39" s="403"/>
      <c r="H39" s="403"/>
      <c r="I39" s="403"/>
    </row>
    <row r="40" spans="2:10" ht="13.8">
      <c r="B40" s="379"/>
      <c r="C40" s="371"/>
      <c r="D40" s="371"/>
      <c r="E40" s="371"/>
      <c r="F40" s="371"/>
      <c r="G40" s="371"/>
      <c r="H40" s="371"/>
      <c r="I40" s="371"/>
    </row>
    <row r="41" spans="2:10" ht="51.75" customHeight="1">
      <c r="B41" s="402" t="s">
        <v>404</v>
      </c>
      <c r="C41" s="403"/>
      <c r="D41" s="403"/>
      <c r="E41" s="403"/>
      <c r="F41" s="403"/>
      <c r="G41" s="403"/>
      <c r="H41" s="403"/>
      <c r="I41" s="403"/>
    </row>
    <row r="42" spans="2:10" ht="23.25" customHeight="1">
      <c r="B42" s="404" t="s">
        <v>350</v>
      </c>
      <c r="C42" s="405"/>
      <c r="D42" s="405"/>
      <c r="E42" s="405"/>
      <c r="F42" s="405"/>
      <c r="G42" s="405"/>
      <c r="H42" s="405"/>
      <c r="I42" s="405"/>
    </row>
    <row r="43" spans="2:10" ht="69" customHeight="1">
      <c r="B43" s="402" t="s">
        <v>336</v>
      </c>
      <c r="C43" s="403"/>
      <c r="D43" s="403"/>
      <c r="E43" s="403"/>
      <c r="F43" s="403"/>
      <c r="G43" s="403"/>
      <c r="H43" s="403"/>
      <c r="I43" s="403"/>
    </row>
    <row r="44" spans="2:10" ht="25.5" customHeight="1">
      <c r="B44" s="400" t="s">
        <v>352</v>
      </c>
      <c r="C44" s="401"/>
      <c r="D44" s="401"/>
      <c r="E44" s="401"/>
      <c r="F44" s="401"/>
      <c r="G44" s="401"/>
      <c r="H44" s="401"/>
      <c r="I44" s="401"/>
    </row>
    <row r="45" spans="2:10" ht="13.8">
      <c r="B45" s="371"/>
      <c r="C45" s="371"/>
      <c r="D45" s="371"/>
      <c r="E45" s="371"/>
      <c r="F45" s="371"/>
      <c r="G45" s="371"/>
      <c r="H45" s="371"/>
      <c r="I45" s="371"/>
    </row>
    <row r="46" spans="2:10" ht="60.75" customHeight="1">
      <c r="B46" s="402" t="s">
        <v>354</v>
      </c>
      <c r="C46" s="403"/>
      <c r="D46" s="403"/>
      <c r="E46" s="403"/>
      <c r="F46" s="403"/>
      <c r="G46" s="403"/>
      <c r="H46" s="403"/>
      <c r="I46" s="403"/>
    </row>
    <row r="47" spans="2:10" ht="64.5" customHeight="1">
      <c r="B47" s="398" t="s">
        <v>353</v>
      </c>
      <c r="C47" s="399"/>
      <c r="D47" s="399"/>
      <c r="E47" s="399"/>
      <c r="F47" s="399"/>
      <c r="G47" s="399"/>
      <c r="H47" s="399"/>
      <c r="I47" s="399"/>
      <c r="J47" s="274"/>
    </row>
    <row r="48" spans="2:10" ht="13.8">
      <c r="B48" s="271"/>
    </row>
    <row r="49" ht="54.75" customHeight="1"/>
  </sheetData>
  <mergeCells count="32">
    <mergeCell ref="K17:R17"/>
    <mergeCell ref="B31:I31"/>
    <mergeCell ref="B32:I32"/>
    <mergeCell ref="B33:I33"/>
    <mergeCell ref="B20:I20"/>
    <mergeCell ref="B22:I22"/>
    <mergeCell ref="B25:I25"/>
    <mergeCell ref="B26:I26"/>
    <mergeCell ref="B27:I27"/>
    <mergeCell ref="B29:I29"/>
    <mergeCell ref="F23:I23"/>
    <mergeCell ref="B2:I2"/>
    <mergeCell ref="B11:I11"/>
    <mergeCell ref="B13:I13"/>
    <mergeCell ref="B15:I15"/>
    <mergeCell ref="B17:I17"/>
    <mergeCell ref="B1:J1"/>
    <mergeCell ref="F3:I8"/>
    <mergeCell ref="B16:J16"/>
    <mergeCell ref="B47:I47"/>
    <mergeCell ref="B44:I44"/>
    <mergeCell ref="B46:I46"/>
    <mergeCell ref="B41:I41"/>
    <mergeCell ref="B42:I42"/>
    <mergeCell ref="B43:I43"/>
    <mergeCell ref="B35:I35"/>
    <mergeCell ref="B36:I36"/>
    <mergeCell ref="B37:I37"/>
    <mergeCell ref="B38:I38"/>
    <mergeCell ref="B39:I39"/>
    <mergeCell ref="B34:I34"/>
    <mergeCell ref="B21:I21"/>
  </mergeCells>
  <hyperlinks>
    <hyperlink ref="F23" r:id="rId1" xr:uid="{00000000-0004-0000-00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Equation.3" shapeId="11265" r:id="rId5">
          <objectPr defaultSize="0" autoPict="0" r:id="rId6">
            <anchor moveWithCells="1" sizeWithCells="1">
              <from>
                <xdr:col>4</xdr:col>
                <xdr:colOff>609600</xdr:colOff>
                <xdr:row>28</xdr:row>
                <xdr:rowOff>220980</xdr:rowOff>
              </from>
              <to>
                <xdr:col>5</xdr:col>
                <xdr:colOff>441960</xdr:colOff>
                <xdr:row>28</xdr:row>
                <xdr:rowOff>403860</xdr:rowOff>
              </to>
            </anchor>
          </objectPr>
        </oleObject>
      </mc:Choice>
      <mc:Fallback>
        <oleObject progId="Equation.3" shapeId="11265" r:id="rId5"/>
      </mc:Fallback>
    </mc:AlternateContent>
    <mc:AlternateContent xmlns:mc="http://schemas.openxmlformats.org/markup-compatibility/2006">
      <mc:Choice Requires="x14">
        <oleObject progId="Equation.3" shapeId="11266" r:id="rId7">
          <objectPr defaultSize="0" autoPict="0" r:id="rId8">
            <anchor moveWithCells="1" sizeWithCells="1">
              <from>
                <xdr:col>1</xdr:col>
                <xdr:colOff>0</xdr:colOff>
                <xdr:row>31</xdr:row>
                <xdr:rowOff>83820</xdr:rowOff>
              </from>
              <to>
                <xdr:col>1</xdr:col>
                <xdr:colOff>213360</xdr:colOff>
                <xdr:row>31</xdr:row>
                <xdr:rowOff>312420</xdr:rowOff>
              </to>
            </anchor>
          </objectPr>
        </oleObject>
      </mc:Choice>
      <mc:Fallback>
        <oleObject progId="Equation.3" shapeId="11266" r:id="rId7"/>
      </mc:Fallback>
    </mc:AlternateContent>
    <mc:AlternateContent xmlns:mc="http://schemas.openxmlformats.org/markup-compatibility/2006">
      <mc:Choice Requires="x14">
        <oleObject progId="Equation.3" shapeId="11267" r:id="rId9">
          <objectPr defaultSize="0" autoPict="0" r:id="rId8">
            <anchor moveWithCells="1" sizeWithCells="1">
              <from>
                <xdr:col>1</xdr:col>
                <xdr:colOff>7620</xdr:colOff>
                <xdr:row>33</xdr:row>
                <xdr:rowOff>76200</xdr:rowOff>
              </from>
              <to>
                <xdr:col>1</xdr:col>
                <xdr:colOff>175260</xdr:colOff>
                <xdr:row>33</xdr:row>
                <xdr:rowOff>266700</xdr:rowOff>
              </to>
            </anchor>
          </objectPr>
        </oleObject>
      </mc:Choice>
      <mc:Fallback>
        <oleObject progId="Equation.3" shapeId="11267" r:id="rId9"/>
      </mc:Fallback>
    </mc:AlternateContent>
    <mc:AlternateContent xmlns:mc="http://schemas.openxmlformats.org/markup-compatibility/2006">
      <mc:Choice Requires="x14">
        <oleObject progId="Equation.3" shapeId="11268" r:id="rId10">
          <objectPr defaultSize="0" autoPict="0" r:id="rId8">
            <anchor moveWithCells="1" sizeWithCells="1">
              <from>
                <xdr:col>1</xdr:col>
                <xdr:colOff>251460</xdr:colOff>
                <xdr:row>35</xdr:row>
                <xdr:rowOff>38100</xdr:rowOff>
              </from>
              <to>
                <xdr:col>1</xdr:col>
                <xdr:colOff>480060</xdr:colOff>
                <xdr:row>35</xdr:row>
                <xdr:rowOff>289560</xdr:rowOff>
              </to>
            </anchor>
          </objectPr>
        </oleObject>
      </mc:Choice>
      <mc:Fallback>
        <oleObject progId="Equation.3" shapeId="11268" r:id="rId10"/>
      </mc:Fallback>
    </mc:AlternateContent>
    <mc:AlternateContent xmlns:mc="http://schemas.openxmlformats.org/markup-compatibility/2006">
      <mc:Choice Requires="x14">
        <oleObject progId="Equation.3" shapeId="11270" r:id="rId11">
          <objectPr defaultSize="0" autoPict="0" r:id="rId12">
            <anchor moveWithCells="1" sizeWithCells="1">
              <from>
                <xdr:col>4</xdr:col>
                <xdr:colOff>419100</xdr:colOff>
                <xdr:row>38</xdr:row>
                <xdr:rowOff>838200</xdr:rowOff>
              </from>
              <to>
                <xdr:col>5</xdr:col>
                <xdr:colOff>563880</xdr:colOff>
                <xdr:row>39</xdr:row>
                <xdr:rowOff>99060</xdr:rowOff>
              </to>
            </anchor>
          </objectPr>
        </oleObject>
      </mc:Choice>
      <mc:Fallback>
        <oleObject progId="Equation.3" shapeId="11270" r:id="rId11"/>
      </mc:Fallback>
    </mc:AlternateContent>
    <mc:AlternateContent xmlns:mc="http://schemas.openxmlformats.org/markup-compatibility/2006">
      <mc:Choice Requires="x14">
        <oleObject progId="Equation.3" shapeId="11271" r:id="rId13">
          <objectPr defaultSize="0" autoPict="0" r:id="rId14">
            <anchor moveWithCells="1" sizeWithCells="1">
              <from>
                <xdr:col>4</xdr:col>
                <xdr:colOff>251460</xdr:colOff>
                <xdr:row>42</xdr:row>
                <xdr:rowOff>685800</xdr:rowOff>
              </from>
              <to>
                <xdr:col>5</xdr:col>
                <xdr:colOff>480060</xdr:colOff>
                <xdr:row>43</xdr:row>
                <xdr:rowOff>297180</xdr:rowOff>
              </to>
            </anchor>
          </objectPr>
        </oleObject>
      </mc:Choice>
      <mc:Fallback>
        <oleObject progId="Equation.3" shapeId="11271" r:id="rId13"/>
      </mc:Fallback>
    </mc:AlternateContent>
    <mc:AlternateContent xmlns:mc="http://schemas.openxmlformats.org/markup-compatibility/2006">
      <mc:Choice Requires="x14">
        <oleObject progId="Equation.3" shapeId="11272" r:id="rId15">
          <objectPr defaultSize="0" autoPict="0" r:id="rId16">
            <anchor moveWithCells="1" sizeWithCells="1">
              <from>
                <xdr:col>3</xdr:col>
                <xdr:colOff>601980</xdr:colOff>
                <xdr:row>27</xdr:row>
                <xdr:rowOff>0</xdr:rowOff>
              </from>
              <to>
                <xdr:col>5</xdr:col>
                <xdr:colOff>411480</xdr:colOff>
                <xdr:row>27</xdr:row>
                <xdr:rowOff>106680</xdr:rowOff>
              </to>
            </anchor>
          </objectPr>
        </oleObject>
      </mc:Choice>
      <mc:Fallback>
        <oleObject progId="Equation.3" shapeId="11272" r:id="rId15"/>
      </mc:Fallback>
    </mc:AlternateContent>
    <mc:AlternateContent xmlns:mc="http://schemas.openxmlformats.org/markup-compatibility/2006">
      <mc:Choice Requires="x14">
        <oleObject progId="Equation.3" shapeId="11273" r:id="rId17">
          <objectPr defaultSize="0" autoPict="0" r:id="rId8">
            <anchor moveWithCells="1" sizeWithCells="1">
              <from>
                <xdr:col>7</xdr:col>
                <xdr:colOff>426720</xdr:colOff>
                <xdr:row>25</xdr:row>
                <xdr:rowOff>137160</xdr:rowOff>
              </from>
              <to>
                <xdr:col>7</xdr:col>
                <xdr:colOff>655320</xdr:colOff>
                <xdr:row>26</xdr:row>
                <xdr:rowOff>266700</xdr:rowOff>
              </to>
            </anchor>
          </objectPr>
        </oleObject>
      </mc:Choice>
      <mc:Fallback>
        <oleObject progId="Equation.3" shapeId="11273" r:id="rId17"/>
      </mc:Fallback>
    </mc:AlternateContent>
    <mc:AlternateContent xmlns:mc="http://schemas.openxmlformats.org/markup-compatibility/2006">
      <mc:Choice Requires="x14">
        <oleObject progId="Equation.3" shapeId="11274" r:id="rId18">
          <objectPr defaultSize="0" autoPict="0" r:id="rId8">
            <anchor moveWithCells="1" sizeWithCells="1">
              <from>
                <xdr:col>7</xdr:col>
                <xdr:colOff>68580</xdr:colOff>
                <xdr:row>35</xdr:row>
                <xdr:rowOff>60960</xdr:rowOff>
              </from>
              <to>
                <xdr:col>7</xdr:col>
                <xdr:colOff>609600</xdr:colOff>
                <xdr:row>35</xdr:row>
                <xdr:rowOff>289560</xdr:rowOff>
              </to>
            </anchor>
          </objectPr>
        </oleObject>
      </mc:Choice>
      <mc:Fallback>
        <oleObject progId="Equation.3" shapeId="11274" r:id="rId1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pageSetUpPr fitToPage="1"/>
  </sheetPr>
  <dimension ref="A2:BW78"/>
  <sheetViews>
    <sheetView showGridLines="0" topLeftCell="A36" zoomScale="90" zoomScaleNormal="90" zoomScaleSheetLayoutView="85" zoomScalePageLayoutView="70" workbookViewId="0">
      <selection activeCell="G39" sqref="G39"/>
    </sheetView>
  </sheetViews>
  <sheetFormatPr baseColWidth="10" defaultColWidth="11.44140625" defaultRowHeight="13.8"/>
  <cols>
    <col min="1" max="1" width="2.109375" style="115" customWidth="1"/>
    <col min="2" max="5" width="3.44140625" style="115" customWidth="1"/>
    <col min="6" max="6" width="12.109375" style="115" customWidth="1"/>
    <col min="7" max="7" width="3.44140625" style="115" customWidth="1"/>
    <col min="8" max="8" width="4.6640625" style="115" customWidth="1"/>
    <col min="9" max="9" width="3.44140625" style="115" customWidth="1"/>
    <col min="10" max="10" width="4.6640625" style="115" customWidth="1"/>
    <col min="11" max="12" width="4" style="115" customWidth="1"/>
    <col min="13" max="14" width="4.21875" style="115" customWidth="1"/>
    <col min="15" max="16" width="4.5546875" style="115" customWidth="1"/>
    <col min="17" max="17" width="3.44140625" style="115" customWidth="1"/>
    <col min="18" max="18" width="4.6640625" style="115" customWidth="1"/>
    <col min="19" max="20" width="4.21875" style="115" customWidth="1"/>
    <col min="21" max="21" width="4.6640625" style="115" customWidth="1"/>
    <col min="22" max="23" width="3.44140625" style="115" customWidth="1"/>
    <col min="24" max="24" width="4.44140625" style="115" customWidth="1"/>
    <col min="25" max="28" width="3.44140625" style="115" customWidth="1"/>
    <col min="29" max="29" width="4.6640625" style="115" customWidth="1"/>
    <col min="30" max="31" width="3.44140625" style="115" customWidth="1"/>
    <col min="32" max="32" width="4.6640625" style="115" customWidth="1"/>
    <col min="33" max="35" width="3.44140625" style="115" customWidth="1"/>
    <col min="36" max="36" width="6.21875" style="115" bestFit="1" customWidth="1"/>
    <col min="37" max="37" width="8" style="115" bestFit="1" customWidth="1"/>
    <col min="38" max="38" width="7.5546875" style="115" bestFit="1" customWidth="1"/>
    <col min="39" max="39" width="5.5546875" style="115" bestFit="1" customWidth="1"/>
    <col min="40" max="40" width="11.44140625" style="118"/>
    <col min="41" max="42" width="15.6640625" style="115" bestFit="1" customWidth="1"/>
    <col min="43" max="44" width="11.44140625" style="115"/>
    <col min="45" max="45" width="27.6640625" style="115" bestFit="1" customWidth="1"/>
    <col min="46" max="59" width="11.44140625" style="115"/>
    <col min="60" max="60" width="18.21875" style="115" bestFit="1" customWidth="1"/>
    <col min="61" max="61" width="6.21875" style="115" bestFit="1" customWidth="1"/>
    <col min="62" max="62" width="5" style="115" bestFit="1" customWidth="1"/>
    <col min="63" max="63" width="9.6640625" style="115" bestFit="1" customWidth="1"/>
    <col min="64" max="64" width="5.5546875" style="115" bestFit="1" customWidth="1"/>
    <col min="65" max="65" width="5.6640625" style="115" bestFit="1" customWidth="1"/>
    <col min="66" max="67" width="5.5546875" style="115" bestFit="1" customWidth="1"/>
    <col min="68" max="68" width="2" style="115" bestFit="1" customWidth="1"/>
    <col min="69" max="69" width="5.5546875" style="115" bestFit="1" customWidth="1"/>
    <col min="70" max="70" width="11.44140625" style="115"/>
    <col min="71" max="71" width="2" style="115" bestFit="1" customWidth="1"/>
    <col min="72" max="100" width="11.44140625" style="115"/>
    <col min="101" max="101" width="5.6640625" style="115" bestFit="1" customWidth="1"/>
    <col min="102" max="16384" width="11.44140625" style="115"/>
  </cols>
  <sheetData>
    <row r="2" spans="1:75" ht="4.5" customHeigh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row>
    <row r="3" spans="1:75" s="119" customFormat="1" ht="23.25" customHeight="1">
      <c r="A3" s="255"/>
      <c r="B3" s="255"/>
      <c r="C3" s="255"/>
      <c r="D3" s="255"/>
      <c r="E3" s="255"/>
      <c r="F3" s="255"/>
      <c r="G3" s="255"/>
      <c r="H3" s="255"/>
      <c r="I3" s="255"/>
      <c r="J3" s="480" t="str">
        <f>+'Notice de calcul'!P3</f>
        <v>Nom du contact</v>
      </c>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2"/>
    </row>
    <row r="4" spans="1:75" ht="33" customHeight="1">
      <c r="A4" s="254"/>
      <c r="B4" s="254"/>
      <c r="C4" s="254"/>
      <c r="D4" s="254"/>
      <c r="E4" s="254"/>
      <c r="F4" s="254"/>
      <c r="G4" s="254"/>
      <c r="H4" s="254"/>
      <c r="I4" s="254"/>
      <c r="J4" s="480" t="str">
        <f>+'Notice de calcul'!M4</f>
        <v>Téléphone</v>
      </c>
      <c r="K4" s="481"/>
      <c r="L4" s="481"/>
      <c r="M4" s="481"/>
      <c r="N4" s="481"/>
      <c r="O4" s="481"/>
      <c r="P4" s="481"/>
      <c r="Q4" s="481"/>
      <c r="R4" s="481"/>
      <c r="S4" s="481"/>
      <c r="T4" s="481"/>
      <c r="U4" s="482"/>
      <c r="V4" s="483" t="str">
        <f>+'Notice de calcul'!W4</f>
        <v>Adresse e-mail</v>
      </c>
      <c r="W4" s="484"/>
      <c r="X4" s="484"/>
      <c r="Y4" s="484"/>
      <c r="Z4" s="484"/>
      <c r="AA4" s="484"/>
      <c r="AB4" s="484"/>
      <c r="AC4" s="484"/>
      <c r="AD4" s="484"/>
      <c r="AE4" s="484"/>
      <c r="AF4" s="484"/>
      <c r="AG4" s="484"/>
      <c r="AH4" s="484"/>
      <c r="AI4" s="485"/>
      <c r="BS4" s="16"/>
    </row>
    <row r="5" spans="1:75" ht="33" customHeight="1">
      <c r="A5" s="254"/>
      <c r="B5" s="254"/>
      <c r="C5" s="254"/>
      <c r="D5" s="254"/>
      <c r="E5" s="254"/>
      <c r="F5" s="254"/>
      <c r="G5" s="254"/>
      <c r="H5" s="254"/>
      <c r="I5" s="254"/>
      <c r="J5" s="361"/>
      <c r="K5" s="362"/>
      <c r="L5" s="362"/>
      <c r="M5" s="362"/>
      <c r="N5" s="362"/>
      <c r="O5" s="362"/>
      <c r="P5" s="362"/>
      <c r="Q5" s="362"/>
      <c r="R5" s="362"/>
      <c r="S5" s="362"/>
      <c r="T5" s="362"/>
      <c r="U5" s="362"/>
      <c r="V5" s="363"/>
      <c r="W5" s="364"/>
      <c r="X5" s="364"/>
      <c r="Y5" s="364"/>
      <c r="Z5" s="364"/>
      <c r="AA5" s="364"/>
      <c r="AB5" s="364"/>
      <c r="AC5" s="364"/>
      <c r="AD5" s="364"/>
      <c r="AE5" s="364"/>
      <c r="AF5" s="364"/>
      <c r="AG5" s="364"/>
      <c r="AH5" s="364"/>
      <c r="AI5" s="364"/>
      <c r="BS5" s="16"/>
    </row>
    <row r="6" spans="1:75" ht="17.399999999999999">
      <c r="A6" s="254"/>
      <c r="B6" s="428" t="s">
        <v>145</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row>
    <row r="7" spans="1:75" ht="35.700000000000003" customHeight="1">
      <c r="A7" s="254"/>
      <c r="B7" s="269" t="s">
        <v>4</v>
      </c>
      <c r="C7" s="269"/>
      <c r="D7" s="269"/>
      <c r="E7" s="269"/>
      <c r="F7" s="447">
        <f>+'Notice de calcul'!U7</f>
        <v>0</v>
      </c>
      <c r="G7" s="448"/>
      <c r="H7" s="448"/>
      <c r="I7" s="269" t="s">
        <v>146</v>
      </c>
      <c r="J7" s="269"/>
      <c r="K7" s="165"/>
      <c r="L7" s="165"/>
      <c r="M7" s="166">
        <f>+'Notice de calcul'!G8</f>
        <v>0</v>
      </c>
      <c r="N7" s="166"/>
      <c r="O7" s="166"/>
      <c r="P7" s="166"/>
      <c r="Q7" s="166"/>
      <c r="R7" s="166"/>
      <c r="S7" s="166"/>
      <c r="T7" s="166"/>
      <c r="U7" s="166"/>
      <c r="V7" s="270"/>
      <c r="W7" s="270"/>
      <c r="X7" s="270"/>
      <c r="Y7" s="270"/>
      <c r="Z7" s="270"/>
      <c r="AA7" s="270"/>
      <c r="AB7" s="270"/>
      <c r="AC7" s="269" t="s">
        <v>3</v>
      </c>
      <c r="AD7" s="269"/>
      <c r="AE7" s="429">
        <f>+'Notice de calcul'!AF7</f>
        <v>0</v>
      </c>
      <c r="AF7" s="430"/>
      <c r="AG7" s="430"/>
      <c r="AH7" s="430"/>
      <c r="AI7" s="269"/>
    </row>
    <row r="8" spans="1:75" ht="4.5" customHeight="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BS8" s="16"/>
    </row>
    <row r="9" spans="1:75" s="119" customFormat="1" ht="17.399999999999999">
      <c r="B9" s="431" t="s">
        <v>5</v>
      </c>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BS9" s="115"/>
      <c r="BT9" s="115"/>
      <c r="BW9" s="115"/>
    </row>
    <row r="10" spans="1:75" ht="6" customHeight="1">
      <c r="T10" s="120"/>
      <c r="BW10" s="119"/>
    </row>
    <row r="11" spans="1:75" ht="15.6">
      <c r="C11" s="159" t="s">
        <v>6</v>
      </c>
      <c r="D11" s="159"/>
      <c r="E11" s="159"/>
      <c r="F11" s="159"/>
      <c r="G11" s="159"/>
      <c r="H11" s="444">
        <f>+'Notice de calcul'!I12</f>
        <v>0</v>
      </c>
      <c r="I11" s="445"/>
      <c r="J11" s="445"/>
      <c r="K11" s="445"/>
      <c r="L11" s="445"/>
      <c r="M11" s="445"/>
      <c r="N11" s="445"/>
      <c r="O11" s="445"/>
      <c r="P11" s="445"/>
      <c r="Q11" s="446"/>
      <c r="R11" s="165"/>
      <c r="S11" s="159"/>
      <c r="T11" s="159" t="s">
        <v>10</v>
      </c>
      <c r="U11" s="159"/>
      <c r="V11" s="159"/>
      <c r="W11" s="159"/>
      <c r="X11" s="159"/>
      <c r="Y11" s="159"/>
      <c r="Z11" s="159"/>
      <c r="AA11" s="159"/>
      <c r="AB11" s="164" t="s">
        <v>11</v>
      </c>
      <c r="AC11" s="441">
        <f>+'Notice de calcul'!AD12</f>
        <v>0</v>
      </c>
      <c r="AD11" s="442"/>
      <c r="AE11" s="442"/>
      <c r="AF11" s="442"/>
      <c r="AG11" s="442"/>
      <c r="AH11" s="443"/>
      <c r="AI11" s="159" t="s">
        <v>12</v>
      </c>
    </row>
    <row r="12" spans="1:75" ht="3" customHeight="1">
      <c r="C12" s="159"/>
      <c r="D12" s="159"/>
      <c r="E12" s="159"/>
      <c r="F12" s="159"/>
      <c r="G12" s="159"/>
      <c r="H12" s="159"/>
      <c r="I12" s="159"/>
      <c r="J12" s="167"/>
      <c r="K12" s="167"/>
      <c r="L12" s="168"/>
      <c r="M12" s="167"/>
      <c r="N12" s="167"/>
      <c r="O12" s="167"/>
      <c r="P12" s="159"/>
      <c r="Q12" s="159"/>
      <c r="R12" s="159"/>
      <c r="S12" s="159"/>
      <c r="T12" s="159"/>
      <c r="U12" s="159"/>
      <c r="V12" s="159"/>
      <c r="W12" s="159"/>
      <c r="X12" s="159"/>
      <c r="Y12" s="159"/>
      <c r="Z12" s="159"/>
      <c r="AA12" s="159"/>
      <c r="AB12" s="159"/>
      <c r="AC12" s="159"/>
      <c r="AD12" s="159"/>
      <c r="AE12" s="159"/>
      <c r="AF12" s="159"/>
      <c r="AG12" s="159"/>
      <c r="AH12" s="159"/>
      <c r="AI12" s="159"/>
      <c r="BW12" s="119"/>
    </row>
    <row r="13" spans="1:75" ht="15.6">
      <c r="C13" s="159" t="s">
        <v>8</v>
      </c>
      <c r="D13" s="159"/>
      <c r="E13" s="159"/>
      <c r="F13" s="159"/>
      <c r="G13" s="159"/>
      <c r="H13" s="444">
        <f>+'Notice de calcul'!I14</f>
        <v>0</v>
      </c>
      <c r="I13" s="445"/>
      <c r="J13" s="445"/>
      <c r="K13" s="445"/>
      <c r="L13" s="445"/>
      <c r="M13" s="445"/>
      <c r="N13" s="445"/>
      <c r="O13" s="445"/>
      <c r="P13" s="445"/>
      <c r="Q13" s="446"/>
      <c r="R13" s="165"/>
      <c r="S13" s="159"/>
      <c r="T13" s="159" t="s">
        <v>13</v>
      </c>
      <c r="U13" s="159"/>
      <c r="V13" s="159"/>
      <c r="W13" s="159"/>
      <c r="X13" s="159"/>
      <c r="Y13" s="159"/>
      <c r="Z13" s="159"/>
      <c r="AA13" s="159"/>
      <c r="AB13" s="164" t="s">
        <v>14</v>
      </c>
      <c r="AC13" s="441">
        <f>+'Notice de calcul'!AD14</f>
        <v>0</v>
      </c>
      <c r="AD13" s="442"/>
      <c r="AE13" s="442"/>
      <c r="AF13" s="442"/>
      <c r="AG13" s="442"/>
      <c r="AH13" s="443"/>
      <c r="AI13" s="159" t="s">
        <v>12</v>
      </c>
      <c r="BS13" s="16"/>
    </row>
    <row r="14" spans="1:75" ht="3" customHeight="1">
      <c r="C14" s="159"/>
      <c r="D14" s="159"/>
      <c r="E14" s="159"/>
      <c r="F14" s="159"/>
      <c r="G14" s="159"/>
      <c r="H14" s="159"/>
      <c r="I14" s="159"/>
      <c r="J14" s="159"/>
      <c r="K14" s="159"/>
      <c r="L14" s="159"/>
      <c r="M14" s="159"/>
      <c r="N14" s="159"/>
      <c r="O14" s="159"/>
      <c r="P14" s="159"/>
      <c r="Q14" s="159"/>
      <c r="R14" s="159"/>
      <c r="S14" s="159"/>
      <c r="T14" s="159"/>
      <c r="U14" s="167"/>
      <c r="V14" s="167"/>
      <c r="W14" s="167"/>
      <c r="X14" s="167"/>
      <c r="Y14" s="167"/>
      <c r="Z14" s="159"/>
      <c r="AA14" s="159"/>
      <c r="AB14" s="159"/>
      <c r="AC14" s="159"/>
      <c r="AD14" s="159"/>
      <c r="AE14" s="159"/>
      <c r="AF14" s="159"/>
      <c r="AG14" s="159"/>
      <c r="AH14" s="159"/>
      <c r="AI14" s="159"/>
      <c r="BW14" s="119"/>
    </row>
    <row r="15" spans="1:75" ht="15.75" customHeight="1">
      <c r="C15" s="159"/>
      <c r="D15" s="159"/>
      <c r="E15" s="159"/>
      <c r="F15" s="159"/>
      <c r="G15" s="159"/>
      <c r="H15" s="159"/>
      <c r="I15" s="159"/>
      <c r="J15" s="159"/>
      <c r="K15" s="159"/>
      <c r="L15" s="159"/>
      <c r="M15" s="159"/>
      <c r="N15" s="159"/>
      <c r="O15" s="159"/>
      <c r="P15" s="159"/>
      <c r="Q15" s="159"/>
      <c r="R15" s="159"/>
      <c r="S15" s="159"/>
      <c r="T15" s="159" t="s">
        <v>15</v>
      </c>
      <c r="U15" s="159"/>
      <c r="V15" s="159"/>
      <c r="W15" s="159"/>
      <c r="X15" s="159"/>
      <c r="Y15" s="159"/>
      <c r="Z15" s="159"/>
      <c r="AA15" s="159"/>
      <c r="AB15" s="164" t="s">
        <v>16</v>
      </c>
      <c r="AC15" s="441">
        <f>+'Notice de calcul'!AD16</f>
        <v>0</v>
      </c>
      <c r="AD15" s="442"/>
      <c r="AE15" s="442"/>
      <c r="AF15" s="442"/>
      <c r="AG15" s="442"/>
      <c r="AH15" s="443"/>
      <c r="AI15" s="159" t="s">
        <v>12</v>
      </c>
    </row>
    <row r="16" spans="1:75" ht="19.5" hidden="1" customHeight="1">
      <c r="D16" s="119"/>
      <c r="E16" s="119"/>
      <c r="F16" s="119"/>
      <c r="G16" s="119"/>
      <c r="H16" s="119"/>
      <c r="I16" s="119"/>
      <c r="J16" s="119"/>
      <c r="K16" s="119"/>
      <c r="L16" s="119"/>
      <c r="M16" s="119"/>
      <c r="N16" s="119"/>
      <c r="P16" s="119"/>
      <c r="Q16" s="119"/>
      <c r="R16" s="119"/>
      <c r="BW16" s="119"/>
    </row>
    <row r="17" spans="2:75" ht="19.5" hidden="1" customHeight="1">
      <c r="C17" s="119" t="s">
        <v>17</v>
      </c>
      <c r="D17" s="119"/>
      <c r="E17" s="119"/>
      <c r="F17" s="119"/>
      <c r="G17" s="119"/>
      <c r="H17" s="119"/>
      <c r="I17" s="119"/>
      <c r="J17" s="119"/>
      <c r="K17" s="119"/>
      <c r="L17" s="119"/>
      <c r="M17" s="119"/>
      <c r="N17" s="119"/>
      <c r="S17" s="122" t="s">
        <v>18</v>
      </c>
      <c r="Z17" s="435">
        <f>AC11*AC13*AC15</f>
        <v>0</v>
      </c>
      <c r="AA17" s="436"/>
      <c r="AB17" s="436"/>
      <c r="AC17" s="436"/>
      <c r="AD17" s="436"/>
      <c r="AE17" s="437"/>
      <c r="AF17" s="119" t="s">
        <v>19</v>
      </c>
      <c r="AG17" s="119"/>
      <c r="AH17" s="119"/>
      <c r="AI17" s="2"/>
    </row>
    <row r="18" spans="2:75" ht="19.5" hidden="1" customHeight="1">
      <c r="C18" s="119"/>
      <c r="D18" s="119"/>
      <c r="E18" s="119"/>
      <c r="F18" s="119"/>
      <c r="G18" s="119"/>
      <c r="H18" s="119"/>
      <c r="I18" s="119"/>
      <c r="J18" s="119"/>
      <c r="K18" s="119"/>
      <c r="L18" s="119"/>
      <c r="M18" s="119"/>
      <c r="N18" s="119"/>
      <c r="O18" s="119"/>
      <c r="Z18" s="124"/>
      <c r="AA18" s="124"/>
      <c r="AB18" s="124"/>
      <c r="AC18" s="124"/>
      <c r="AD18" s="124"/>
      <c r="AE18" s="124"/>
      <c r="AF18" s="119"/>
      <c r="AG18" s="119"/>
      <c r="AH18" s="119"/>
      <c r="AI18" s="3"/>
      <c r="BW18" s="119"/>
    </row>
    <row r="19" spans="2:75" ht="19.5" hidden="1" customHeight="1">
      <c r="C19" s="119" t="s">
        <v>20</v>
      </c>
      <c r="D19" s="119"/>
      <c r="E19" s="119"/>
      <c r="F19" s="119"/>
      <c r="G19" s="119"/>
      <c r="H19" s="119"/>
      <c r="I19" s="119"/>
      <c r="J19" s="119"/>
      <c r="K19" s="119"/>
      <c r="L19" s="119"/>
      <c r="M19" s="119"/>
      <c r="N19" s="119"/>
      <c r="O19" s="119"/>
      <c r="T19" s="435"/>
      <c r="U19" s="436"/>
      <c r="V19" s="436"/>
      <c r="W19" s="436"/>
      <c r="X19" s="436"/>
      <c r="Y19" s="437"/>
      <c r="Z19" s="119" t="s">
        <v>21</v>
      </c>
      <c r="AG19" s="119"/>
      <c r="AH19" s="119"/>
      <c r="AI19" s="4"/>
    </row>
    <row r="20" spans="2:75" ht="19.5" hidden="1" customHeight="1">
      <c r="C20" s="5" t="s">
        <v>22</v>
      </c>
      <c r="D20" s="119"/>
      <c r="E20" s="119"/>
      <c r="F20" s="119"/>
      <c r="G20" s="119"/>
      <c r="H20" s="119"/>
      <c r="I20" s="119"/>
      <c r="J20" s="119"/>
      <c r="K20" s="119"/>
      <c r="L20" s="119"/>
      <c r="M20" s="119"/>
      <c r="N20" s="119"/>
      <c r="O20" s="119"/>
      <c r="Z20" s="438" t="e">
        <f>AC11*AC13/T19</f>
        <v>#DIV/0!</v>
      </c>
      <c r="AA20" s="439"/>
      <c r="AB20" s="439"/>
      <c r="AC20" s="439"/>
      <c r="AD20" s="439"/>
      <c r="AE20" s="440"/>
      <c r="AF20" s="119" t="s">
        <v>23</v>
      </c>
      <c r="AG20" s="119"/>
      <c r="AH20" s="119"/>
    </row>
    <row r="21" spans="2:75" ht="4.5" customHeight="1">
      <c r="BW21" s="119"/>
    </row>
    <row r="22" spans="2:75" s="119" customFormat="1" ht="19.5" customHeight="1">
      <c r="B22" s="431" t="s">
        <v>204</v>
      </c>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BW22" s="115"/>
    </row>
    <row r="23" spans="2:75" ht="3" customHeight="1">
      <c r="BW23" s="119"/>
    </row>
    <row r="24" spans="2:75" ht="15.6">
      <c r="D24" s="475" t="s">
        <v>205</v>
      </c>
      <c r="E24" s="476"/>
      <c r="F24" s="476"/>
      <c r="G24" s="476"/>
      <c r="H24" s="477"/>
      <c r="L24" s="449" t="s">
        <v>206</v>
      </c>
      <c r="M24" s="426"/>
      <c r="N24" s="426"/>
      <c r="O24" s="426"/>
      <c r="P24" s="450"/>
      <c r="T24" s="449" t="s">
        <v>207</v>
      </c>
      <c r="U24" s="479"/>
      <c r="V24" s="479"/>
      <c r="W24" s="479"/>
      <c r="X24" s="479"/>
      <c r="Y24" s="479"/>
      <c r="AD24" s="449" t="s">
        <v>208</v>
      </c>
      <c r="AE24" s="426"/>
      <c r="AF24" s="426"/>
      <c r="AG24" s="426"/>
      <c r="AH24" s="450"/>
    </row>
    <row r="25" spans="2:75" ht="15.6">
      <c r="D25" s="478">
        <f>SUM('Notice de calcul'!K26:M30)</f>
        <v>0</v>
      </c>
      <c r="E25" s="476"/>
      <c r="F25" s="476"/>
      <c r="G25" s="476"/>
      <c r="H25" s="477"/>
      <c r="L25" s="425">
        <f>SUM('Notice de calcul'!X26:Z29)</f>
        <v>0</v>
      </c>
      <c r="M25" s="426"/>
      <c r="N25" s="426"/>
      <c r="O25" s="426"/>
      <c r="P25" s="426"/>
      <c r="T25" s="478">
        <f>SUM('Notice de calcul'!AI26:AJ31)</f>
        <v>0</v>
      </c>
      <c r="U25" s="476"/>
      <c r="V25" s="476"/>
      <c r="W25" s="476"/>
      <c r="X25" s="476"/>
      <c r="Y25" s="477"/>
      <c r="AD25" s="425">
        <f>SUM('Notice de calcul'!X31:Y31)</f>
        <v>0</v>
      </c>
      <c r="AE25" s="426"/>
      <c r="AF25" s="426"/>
      <c r="AG25" s="426"/>
      <c r="AH25" s="426"/>
      <c r="BW25" s="119"/>
    </row>
    <row r="26" spans="2:75" ht="6" customHeight="1">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row>
    <row r="27" spans="2:75" ht="15.6">
      <c r="B27" s="170" t="s">
        <v>38</v>
      </c>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2"/>
      <c r="AG27" s="432">
        <f>+AD25+T25+L25+D25</f>
        <v>0</v>
      </c>
      <c r="AH27" s="433"/>
      <c r="AI27" s="434"/>
      <c r="BW27" s="119"/>
    </row>
    <row r="28" spans="2:75" ht="2.25" customHeight="1">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W28" s="131">
        <f>+SUM(T38:T38)</f>
        <v>0</v>
      </c>
    </row>
    <row r="29" spans="2:75" ht="3.75" customHeight="1">
      <c r="B29" s="159"/>
      <c r="C29" s="16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M29" s="132"/>
      <c r="AN29" s="133"/>
      <c r="AO29" s="132"/>
      <c r="AP29" s="132"/>
      <c r="AQ29" s="132"/>
      <c r="AR29" s="132"/>
      <c r="AS29" s="131"/>
      <c r="AT29" s="131"/>
      <c r="AU29" s="131"/>
      <c r="AV29" s="131"/>
      <c r="AW29" s="131"/>
      <c r="AX29" s="132"/>
      <c r="BH29" s="119"/>
      <c r="BI29" s="119"/>
      <c r="BJ29" s="119"/>
      <c r="BK29" s="119"/>
      <c r="BL29" s="119"/>
      <c r="BM29" s="119"/>
      <c r="BN29" s="119"/>
      <c r="BO29" s="119"/>
      <c r="BP29" s="119"/>
      <c r="BQ29" s="119"/>
      <c r="BR29" s="119"/>
      <c r="BS29" s="119"/>
      <c r="BW29" s="119"/>
    </row>
    <row r="30" spans="2:75" s="119" customFormat="1" ht="17.399999999999999">
      <c r="B30" s="431" t="s">
        <v>45</v>
      </c>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M30" s="136"/>
      <c r="AN30" s="136"/>
      <c r="AO30" s="136"/>
      <c r="AP30" s="136"/>
      <c r="AQ30" s="136"/>
      <c r="AR30" s="136"/>
      <c r="AS30" s="137"/>
      <c r="AT30" s="137"/>
      <c r="AU30" s="137"/>
      <c r="AV30" s="137"/>
      <c r="AW30" s="136"/>
      <c r="AX30" s="136"/>
    </row>
    <row r="31" spans="2:75" ht="6" customHeight="1">
      <c r="C31" s="151"/>
      <c r="AM31" s="132"/>
      <c r="AN31" s="133"/>
      <c r="AO31" s="132"/>
      <c r="AP31" s="132"/>
      <c r="AQ31" s="132"/>
      <c r="AR31" s="132"/>
      <c r="AS31" s="131"/>
      <c r="AT31" s="131"/>
      <c r="AU31" s="131"/>
      <c r="AV31" s="131"/>
      <c r="AW31" s="131"/>
      <c r="AX31" s="132"/>
      <c r="BH31" s="119"/>
      <c r="BI31" s="119"/>
      <c r="BJ31" s="119"/>
      <c r="BK31" s="119"/>
      <c r="BL31" s="119"/>
      <c r="BM31" s="119"/>
      <c r="BN31" s="119"/>
      <c r="BO31" s="119"/>
      <c r="BP31" s="119"/>
      <c r="BQ31" s="119"/>
      <c r="BR31" s="119"/>
      <c r="BS31" s="119"/>
      <c r="BW31" s="119"/>
    </row>
    <row r="32" spans="2:75" s="150" customFormat="1" ht="15.6" customHeight="1">
      <c r="B32" s="347"/>
      <c r="C32" s="341" t="s">
        <v>192</v>
      </c>
      <c r="D32" s="345"/>
      <c r="E32" s="346"/>
      <c r="F32" s="346"/>
      <c r="G32" s="346"/>
      <c r="H32" s="346"/>
      <c r="I32" s="346"/>
      <c r="J32" s="346"/>
      <c r="K32" s="346"/>
      <c r="L32" s="346"/>
      <c r="M32" s="346"/>
      <c r="N32" s="346"/>
      <c r="O32" s="348" t="s">
        <v>46</v>
      </c>
      <c r="P32" s="346"/>
      <c r="Q32" s="346"/>
      <c r="R32" s="346"/>
      <c r="S32" s="346"/>
      <c r="T32" s="346"/>
      <c r="U32" s="346"/>
      <c r="V32" s="346"/>
      <c r="W32" s="346"/>
      <c r="X32" s="346"/>
      <c r="Y32" s="346"/>
      <c r="Z32" s="346"/>
      <c r="AA32" s="346"/>
      <c r="AB32" s="346"/>
      <c r="AC32" s="346"/>
      <c r="AD32" s="346"/>
      <c r="AE32" s="346"/>
      <c r="AF32" s="458" t="e">
        <f>+'Notice de calcul'!AG45</f>
        <v>#DIV/0!</v>
      </c>
      <c r="AG32" s="458"/>
      <c r="AH32" s="458"/>
      <c r="AI32" s="347"/>
      <c r="AM32" s="83"/>
      <c r="AN32" s="83"/>
      <c r="AO32" s="83"/>
      <c r="AP32" s="83"/>
      <c r="AQ32" s="83"/>
      <c r="AR32" s="83"/>
      <c r="AS32" s="84"/>
      <c r="AT32" s="84"/>
      <c r="AU32" s="84"/>
      <c r="AV32" s="84"/>
      <c r="AW32" s="84"/>
      <c r="AX32" s="83"/>
      <c r="BW32" s="119"/>
    </row>
    <row r="33" spans="2:75" s="150" customFormat="1" ht="21" customHeight="1">
      <c r="C33" s="182" t="s">
        <v>47</v>
      </c>
      <c r="D33" s="183"/>
      <c r="E33" s="183"/>
      <c r="F33" s="183"/>
      <c r="G33" s="183"/>
      <c r="H33" s="183"/>
      <c r="I33" s="183"/>
      <c r="J33" s="183"/>
      <c r="K33" s="183"/>
      <c r="L33" s="183"/>
      <c r="M33" s="183"/>
      <c r="N33" s="183"/>
      <c r="O33" s="183"/>
      <c r="P33" s="183"/>
      <c r="Q33" s="183"/>
      <c r="R33" s="183"/>
      <c r="S33" s="183"/>
      <c r="T33" s="183"/>
      <c r="U33" s="183"/>
      <c r="V33" s="183"/>
      <c r="W33" s="183"/>
      <c r="X33" s="158"/>
      <c r="Y33" s="158"/>
      <c r="Z33" s="164" t="s">
        <v>407</v>
      </c>
      <c r="AA33" s="158"/>
      <c r="AB33" s="158"/>
      <c r="AC33" s="158"/>
      <c r="AD33" s="158"/>
      <c r="AE33" s="158"/>
      <c r="AF33" s="424" t="str">
        <f>+'Notice de calcul'!AG46</f>
        <v/>
      </c>
      <c r="AG33" s="424"/>
      <c r="AH33" s="424"/>
      <c r="AM33" s="83"/>
      <c r="AN33" s="83"/>
      <c r="AO33" s="83"/>
      <c r="AP33" s="83"/>
      <c r="AQ33" s="83"/>
      <c r="AR33" s="83"/>
      <c r="AS33" s="84"/>
      <c r="AT33" s="84"/>
      <c r="AV33" s="84"/>
      <c r="AW33" s="84"/>
      <c r="AX33" s="83"/>
      <c r="BW33" s="115"/>
    </row>
    <row r="34" spans="2:75" s="150" customFormat="1" ht="35.700000000000003" customHeight="1">
      <c r="B34" s="330"/>
      <c r="C34" s="182" t="s">
        <v>47</v>
      </c>
      <c r="D34" s="183"/>
      <c r="E34" s="183"/>
      <c r="F34" s="183"/>
      <c r="G34" s="183"/>
      <c r="H34" s="183"/>
      <c r="I34" s="183"/>
      <c r="J34" s="183"/>
      <c r="K34" s="183"/>
      <c r="L34" s="183"/>
      <c r="M34" s="183"/>
      <c r="N34" s="183"/>
      <c r="O34" s="183"/>
      <c r="P34" s="183"/>
      <c r="Q34" s="183"/>
      <c r="R34" s="183"/>
      <c r="S34" s="183"/>
      <c r="T34" s="183"/>
      <c r="U34" s="183"/>
      <c r="V34" s="183"/>
      <c r="W34" s="183"/>
      <c r="X34" s="331"/>
      <c r="Y34" s="331"/>
      <c r="Z34" s="184" t="s">
        <v>408</v>
      </c>
      <c r="AA34" s="331"/>
      <c r="AB34" s="331"/>
      <c r="AC34" s="331"/>
      <c r="AD34" s="331"/>
      <c r="AE34" s="331"/>
      <c r="AF34" s="424" t="str">
        <f>+'Notice de calcul'!AG47</f>
        <v/>
      </c>
      <c r="AG34" s="424"/>
      <c r="AH34" s="424"/>
      <c r="AI34" s="330"/>
      <c r="AJ34" s="330"/>
      <c r="AM34" s="83"/>
      <c r="AN34" s="83"/>
      <c r="AO34" s="83"/>
      <c r="AP34" s="83"/>
      <c r="AQ34" s="83"/>
      <c r="AR34" s="83"/>
      <c r="AS34" s="84"/>
      <c r="AT34" s="84"/>
      <c r="AU34" s="84"/>
      <c r="AV34" s="84"/>
      <c r="AW34" s="84"/>
      <c r="AX34" s="83"/>
      <c r="BW34" s="119"/>
    </row>
    <row r="35" spans="2:75" s="119" customFormat="1" ht="27" customHeight="1" thickBot="1">
      <c r="B35" s="427" t="s">
        <v>165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c r="AG35" s="427"/>
      <c r="AH35" s="427"/>
      <c r="AI35" s="427"/>
      <c r="AJ35" s="332"/>
      <c r="AK35" s="332"/>
      <c r="AM35" s="136"/>
      <c r="AN35" s="136"/>
      <c r="AO35" s="136"/>
      <c r="AP35" s="136"/>
      <c r="AQ35" s="136"/>
      <c r="AR35" s="136"/>
      <c r="AS35" s="137"/>
      <c r="AT35" s="131" t="s">
        <v>116</v>
      </c>
      <c r="AU35" s="137"/>
      <c r="AV35" s="137"/>
      <c r="AW35" s="137"/>
      <c r="AX35" s="136"/>
    </row>
    <row r="36" spans="2:75" ht="17.25" customHeight="1">
      <c r="B36" s="325"/>
      <c r="C36" s="326" t="s">
        <v>274</v>
      </c>
      <c r="D36" s="325"/>
      <c r="E36" s="325"/>
      <c r="F36" s="325"/>
      <c r="G36" s="325"/>
      <c r="H36" s="325"/>
      <c r="I36" s="327"/>
      <c r="J36" s="328"/>
      <c r="K36" s="325"/>
      <c r="L36" s="326" t="s">
        <v>276</v>
      </c>
      <c r="M36" s="325"/>
      <c r="N36" s="325"/>
      <c r="O36" s="325"/>
      <c r="P36" s="325"/>
      <c r="Q36" s="325"/>
      <c r="R36" s="327"/>
      <c r="S36" s="325"/>
      <c r="T36" s="326" t="s">
        <v>285</v>
      </c>
      <c r="U36" s="325"/>
      <c r="V36" s="325"/>
      <c r="W36" s="325"/>
      <c r="X36" s="325"/>
      <c r="Y36" s="325"/>
      <c r="Z36" s="329"/>
      <c r="AA36" s="325"/>
      <c r="AB36" s="325"/>
      <c r="AC36" s="326" t="s">
        <v>287</v>
      </c>
      <c r="AD36" s="325"/>
      <c r="AE36" s="325"/>
      <c r="AF36" s="325"/>
      <c r="AG36" s="313"/>
      <c r="AH36" s="313"/>
      <c r="AI36" s="309"/>
      <c r="AM36" s="132"/>
      <c r="AN36" s="133"/>
      <c r="AO36" s="132"/>
      <c r="AP36" s="132"/>
      <c r="AQ36" s="132"/>
      <c r="AR36" s="132"/>
      <c r="AS36" s="131"/>
      <c r="AT36" s="131"/>
      <c r="AU36" s="131"/>
      <c r="AV36" s="131"/>
      <c r="AW36" s="131"/>
      <c r="AX36" s="132"/>
      <c r="BH36" s="119"/>
      <c r="BI36" s="119"/>
      <c r="BJ36" s="119"/>
      <c r="BK36" s="119"/>
      <c r="BL36" s="119"/>
      <c r="BM36" s="119"/>
      <c r="BN36" s="119"/>
      <c r="BO36" s="119"/>
      <c r="BP36" s="119"/>
      <c r="BQ36" s="119"/>
      <c r="BR36" s="119"/>
      <c r="BS36" s="119"/>
      <c r="BW36" s="119"/>
    </row>
    <row r="37" spans="2:75" ht="8.25" customHeight="1" thickBot="1">
      <c r="B37" s="116"/>
      <c r="C37" s="116"/>
      <c r="D37" s="116"/>
      <c r="E37" s="116"/>
      <c r="F37" s="116"/>
      <c r="G37" s="116"/>
      <c r="H37" s="235"/>
      <c r="I37" s="116"/>
      <c r="J37" s="116"/>
      <c r="K37" s="116"/>
      <c r="L37" s="116"/>
      <c r="M37" s="116"/>
      <c r="N37" s="116"/>
      <c r="O37" s="116"/>
      <c r="P37" s="116"/>
      <c r="Q37" s="235"/>
      <c r="Z37" s="235"/>
      <c r="AM37" s="132"/>
      <c r="AN37" s="133"/>
      <c r="AO37" s="132"/>
      <c r="AP37" s="132"/>
      <c r="AQ37" s="132"/>
      <c r="AR37" s="132"/>
      <c r="AS37" s="131"/>
      <c r="AT37" s="131"/>
      <c r="AU37" s="131"/>
      <c r="AV37" s="131"/>
      <c r="AW37" s="131"/>
      <c r="AX37" s="132"/>
      <c r="BH37" s="119"/>
      <c r="BI37" s="119"/>
      <c r="BJ37" s="119"/>
      <c r="BK37" s="119"/>
      <c r="BL37" s="119"/>
      <c r="BM37" s="119"/>
      <c r="BN37" s="119"/>
      <c r="BO37" s="119"/>
      <c r="BP37" s="119"/>
      <c r="BQ37" s="119"/>
      <c r="BR37" s="119"/>
      <c r="BS37" s="119"/>
      <c r="BW37" s="119"/>
    </row>
    <row r="38" spans="2:75" ht="16.5" customHeight="1" thickBot="1">
      <c r="I38" s="226"/>
      <c r="J38" s="176"/>
      <c r="K38" s="123" t="s">
        <v>277</v>
      </c>
      <c r="M38" s="176"/>
      <c r="P38" s="155" t="str">
        <f>IF(SUM('Notice de calcul'!$L$52:$L$65)+SUM('Notice de calcul'!$M$52:$M$65)&gt;0,"✔"," ")</f>
        <v xml:space="preserve"> </v>
      </c>
      <c r="R38" s="226"/>
      <c r="S38" s="176"/>
      <c r="T38" s="176"/>
      <c r="U38" s="176"/>
      <c r="Z38" s="236"/>
      <c r="AA38" s="123"/>
      <c r="AB38" s="176"/>
      <c r="AD38" s="120" t="s">
        <v>405</v>
      </c>
      <c r="AG38" s="138"/>
      <c r="AH38" s="155" t="str">
        <f>IF(SUM('Notice de calcul'!$AF$51:$AF$56)+SUM('Notice de calcul'!$AI$51:$AI$56)&gt;0,"✔"," ")</f>
        <v xml:space="preserve"> </v>
      </c>
      <c r="AI38" s="151"/>
      <c r="AJ38" s="139"/>
      <c r="AM38" s="132"/>
      <c r="AN38" s="133"/>
      <c r="AO38" s="132"/>
      <c r="AP38" s="132"/>
      <c r="AQ38" s="132"/>
      <c r="AR38" s="132"/>
      <c r="AS38" s="131"/>
      <c r="AT38" s="131"/>
      <c r="AU38" s="131"/>
      <c r="AV38" s="131"/>
      <c r="AW38" s="131"/>
      <c r="AX38" s="132"/>
      <c r="BH38" s="119"/>
      <c r="BI38" s="119"/>
      <c r="BJ38" s="119"/>
      <c r="BK38" s="119"/>
      <c r="BL38" s="119"/>
      <c r="BM38" s="119"/>
      <c r="BN38" s="119"/>
      <c r="BO38" s="119"/>
      <c r="BP38" s="119"/>
      <c r="BQ38" s="119"/>
      <c r="BR38" s="119"/>
      <c r="BS38" s="119"/>
      <c r="BW38" s="119"/>
    </row>
    <row r="39" spans="2:75" ht="16.5" customHeight="1" thickBot="1">
      <c r="B39" s="173"/>
      <c r="C39" s="231"/>
      <c r="D39" s="173" t="s">
        <v>275</v>
      </c>
      <c r="E39" s="232"/>
      <c r="F39" s="232"/>
      <c r="G39" s="156" t="str">
        <f>IF(SUM('Notice de calcul'!$E$52:$E$59)+SUM('Notice de calcul'!$G$52:$G$59)&gt;0,"✔"," ")</f>
        <v xml:space="preserve"> </v>
      </c>
      <c r="I39" s="226"/>
      <c r="J39" s="116"/>
      <c r="R39" s="226"/>
      <c r="U39" s="123" t="s">
        <v>282</v>
      </c>
      <c r="Y39" s="155" t="str">
        <f>IF(SUM('Notice de calcul'!$U$52:$U$54)+SUM('Notice de calcul'!$V$52:$V$54)+SUM('Notice de calcul'!$Z$52:$Z$54)+SUM('Notice de calcul'!$AA$52:$AA$54)&gt;0,"✔"," ")</f>
        <v xml:space="preserve"> </v>
      </c>
      <c r="Z39" s="235"/>
      <c r="AI39" s="138"/>
      <c r="AJ39" s="138"/>
      <c r="AK39" s="154"/>
      <c r="AM39" s="132"/>
      <c r="AN39" s="133"/>
      <c r="AO39" s="132"/>
      <c r="AP39" s="132"/>
      <c r="AQ39" s="132"/>
      <c r="AR39" s="132"/>
      <c r="AS39" s="131"/>
      <c r="AT39" s="131"/>
      <c r="AU39" s="140" t="s">
        <v>114</v>
      </c>
      <c r="AV39" s="141" t="s">
        <v>115</v>
      </c>
      <c r="AW39" s="131"/>
      <c r="AX39" s="132"/>
      <c r="BW39" s="119"/>
    </row>
    <row r="40" spans="2:75" ht="16.5" customHeight="1" thickBot="1">
      <c r="C40" s="232"/>
      <c r="D40" s="232"/>
      <c r="E40" s="232"/>
      <c r="F40" s="232"/>
      <c r="G40" s="232"/>
      <c r="I40" s="226"/>
      <c r="J40" s="116"/>
      <c r="K40" s="123" t="s">
        <v>278</v>
      </c>
      <c r="L40" s="176"/>
      <c r="P40" s="155" t="str">
        <f>IF(SUM('Notice de calcul'!$L$68:$L$69)+SUM('Notice de calcul'!$M$68:$M$69)&gt;0,"✔"," ")</f>
        <v xml:space="preserve"> </v>
      </c>
      <c r="R40" s="226"/>
      <c r="U40" s="176"/>
      <c r="Y40" s="176"/>
      <c r="Z40" s="235"/>
      <c r="AC40" s="176"/>
      <c r="AJ40" s="116"/>
      <c r="AM40" s="132"/>
      <c r="AN40" s="133"/>
      <c r="AO40" s="132"/>
      <c r="AP40" s="132"/>
      <c r="AQ40" s="132"/>
      <c r="AR40" s="132"/>
      <c r="AS40" s="131"/>
      <c r="AT40" s="131"/>
      <c r="AU40" s="140"/>
      <c r="AV40" s="141"/>
      <c r="AW40" s="131"/>
      <c r="AX40" s="132"/>
      <c r="BW40" s="119"/>
    </row>
    <row r="41" spans="2:75" ht="16.5" customHeight="1" thickBot="1">
      <c r="D41" s="232"/>
      <c r="E41" s="232"/>
      <c r="F41" s="232"/>
      <c r="I41" s="226"/>
      <c r="J41" s="116"/>
      <c r="R41" s="226"/>
      <c r="U41" s="173" t="s">
        <v>283</v>
      </c>
      <c r="V41" s="176"/>
      <c r="Y41" s="155" t="str">
        <f>IF(SUM('Notice de calcul'!$U$68:$U$69)&gt;0,"✔"," ")</f>
        <v xml:space="preserve"> </v>
      </c>
      <c r="Z41" s="235"/>
      <c r="AD41" s="120" t="s">
        <v>286</v>
      </c>
      <c r="AH41" s="386" t="str">
        <f>IF(('Notice de calcul'!$AF$58+'Notice de calcul'!$AI$58)&gt;0,"✔"," ")</f>
        <v xml:space="preserve"> </v>
      </c>
      <c r="AJ41" s="116"/>
      <c r="AM41" s="132"/>
      <c r="AN41" s="133"/>
      <c r="AO41" s="132"/>
      <c r="AP41" s="132"/>
      <c r="AQ41" s="132"/>
      <c r="AR41" s="132"/>
      <c r="AS41" s="131"/>
      <c r="AT41" s="131"/>
      <c r="AU41" s="140"/>
      <c r="AV41" s="141"/>
      <c r="AW41" s="131"/>
      <c r="AX41" s="132"/>
      <c r="BW41" s="119"/>
    </row>
    <row r="42" spans="2:75" ht="16.5" customHeight="1" thickBot="1">
      <c r="B42" s="138"/>
      <c r="I42" s="226"/>
      <c r="J42" s="116"/>
      <c r="K42" s="123" t="s">
        <v>279</v>
      </c>
      <c r="P42" s="155" t="str">
        <f>IF(SUM('Notice de calcul'!$Q$51:$Q$53)&gt;0,"✔"," ")</f>
        <v xml:space="preserve"> </v>
      </c>
      <c r="R42" s="226"/>
      <c r="V42" s="176"/>
      <c r="Z42" s="235"/>
      <c r="AA42" s="123"/>
      <c r="AD42" s="120"/>
      <c r="AH42" s="174"/>
      <c r="AI42" s="153"/>
      <c r="AJ42" s="116"/>
      <c r="AM42" s="132"/>
      <c r="AN42" s="133"/>
      <c r="AO42" s="132"/>
      <c r="AP42" s="132"/>
      <c r="AQ42" s="132"/>
      <c r="AR42" s="132"/>
      <c r="AS42" s="131"/>
      <c r="AT42" s="131"/>
      <c r="AU42" s="140"/>
      <c r="AV42" s="141"/>
      <c r="AW42" s="131"/>
      <c r="AX42" s="132"/>
      <c r="BW42" s="119"/>
    </row>
    <row r="43" spans="2:75" ht="16.5" customHeight="1" thickBot="1">
      <c r="B43" s="138"/>
      <c r="D43" s="232"/>
      <c r="E43" s="232"/>
      <c r="I43" s="226"/>
      <c r="J43" s="116"/>
      <c r="K43" s="176"/>
      <c r="R43" s="226"/>
      <c r="U43" s="123" t="s">
        <v>284</v>
      </c>
      <c r="V43" s="174"/>
      <c r="Y43" s="155" t="str">
        <f>IF(SUM('Notice de calcul'!$W$68:$W$69)&gt;0,"✔"," ")</f>
        <v xml:space="preserve"> </v>
      </c>
      <c r="Z43" s="235"/>
      <c r="AI43" s="153"/>
      <c r="AJ43" s="116"/>
      <c r="AM43" s="132"/>
      <c r="AN43" s="133"/>
      <c r="AO43" s="132"/>
      <c r="AP43" s="132"/>
      <c r="AT43" s="131"/>
      <c r="AU43" s="131">
        <f>ROUNDUP(T38/2,0)</f>
        <v>0</v>
      </c>
      <c r="AV43" s="142">
        <f>T38-AU43</f>
        <v>0</v>
      </c>
      <c r="AW43" s="131"/>
      <c r="AX43" s="132"/>
    </row>
    <row r="44" spans="2:75" ht="16.5" customHeight="1" thickBot="1">
      <c r="B44" s="138"/>
      <c r="E44" s="232"/>
      <c r="I44" s="226"/>
      <c r="J44" s="116"/>
      <c r="K44" s="175" t="s">
        <v>280</v>
      </c>
      <c r="P44" s="155" t="str">
        <f>IF(SUM('Notice de calcul'!$Q$55:$Q$56)&gt;0,"✔"," ")</f>
        <v xml:space="preserve"> </v>
      </c>
      <c r="R44" s="226"/>
      <c r="V44" s="176"/>
      <c r="Z44" s="236"/>
      <c r="AI44" s="153"/>
      <c r="AJ44" s="116"/>
      <c r="AM44" s="132"/>
      <c r="AN44" s="133"/>
      <c r="AO44" s="132"/>
      <c r="AP44" s="132"/>
      <c r="AT44" s="131"/>
      <c r="AU44" s="131" t="e">
        <f>ROUNDUP(#REF!/2,0)</f>
        <v>#REF!</v>
      </c>
      <c r="AV44" s="142" t="e">
        <f>#REF!-AU44</f>
        <v>#REF!</v>
      </c>
      <c r="AW44" s="131"/>
      <c r="AX44" s="132"/>
      <c r="BW44" s="119"/>
    </row>
    <row r="45" spans="2:75" ht="16.5" customHeight="1" thickBot="1">
      <c r="B45" s="138"/>
      <c r="C45" s="231"/>
      <c r="D45" s="232"/>
      <c r="E45" s="232"/>
      <c r="F45" s="232"/>
      <c r="G45" s="232"/>
      <c r="H45" s="232"/>
      <c r="I45" s="225"/>
      <c r="J45" s="176"/>
      <c r="R45" s="226"/>
      <c r="U45" s="175" t="s">
        <v>415</v>
      </c>
      <c r="V45" s="176"/>
      <c r="Y45" s="155" t="str">
        <f>IF(('Notice de calcul'!V62+'Notice de calcul'!V61+'Notice de calcul'!Z61+'Notice de calcul'!AA61+'Notice de calcul'!AA62+'Notice de calcul'!U61)&gt;0,"✔"," ")</f>
        <v xml:space="preserve"> </v>
      </c>
      <c r="Z45" s="236"/>
      <c r="AD45" s="120" t="s">
        <v>281</v>
      </c>
      <c r="AG45" s="152"/>
      <c r="AH45" s="386" t="str">
        <f>IF(('Notice de calcul'!$AF$62+'Notice de calcul'!AF63+'Notice de calcul'!AF64+'Notice de calcul'!AI64+'Notice de calcul'!AI63)&gt;0,"✔"," ")</f>
        <v xml:space="preserve"> </v>
      </c>
      <c r="AI45" s="153"/>
      <c r="AJ45" s="116"/>
      <c r="AM45" s="132"/>
      <c r="AN45" s="133"/>
      <c r="AO45" s="132"/>
      <c r="AP45" s="132"/>
      <c r="AT45" s="131"/>
      <c r="AU45" s="131" t="e">
        <f>ROUNDUP(#REF!/2,0)</f>
        <v>#REF!</v>
      </c>
      <c r="AV45" s="142" t="e">
        <f>#REF!-AU45</f>
        <v>#REF!</v>
      </c>
      <c r="AW45" s="131"/>
      <c r="AX45" s="132"/>
    </row>
    <row r="46" spans="2:75" ht="16.5" customHeight="1" thickBot="1">
      <c r="B46" s="173"/>
      <c r="E46" s="120" t="s">
        <v>406</v>
      </c>
      <c r="G46" s="156" t="str">
        <f>IF(SUM('Notice de calcul'!$E$61:$E$69)&gt;0,"✔"," ")</f>
        <v xml:space="preserve"> </v>
      </c>
      <c r="I46" s="226"/>
      <c r="J46" s="116"/>
      <c r="K46" s="123" t="s">
        <v>174</v>
      </c>
      <c r="P46" s="383" t="str">
        <f>IF(SUM('Notice de calcul'!$Q$58:$Q$59)&gt;0,"✔"," ")</f>
        <v xml:space="preserve"> </v>
      </c>
      <c r="R46" s="226"/>
      <c r="Y46" s="176"/>
      <c r="Z46" s="235"/>
      <c r="AA46" s="123"/>
      <c r="AD46" s="120"/>
      <c r="AH46" s="174"/>
      <c r="AI46" s="153"/>
      <c r="AJ46" s="116"/>
      <c r="AM46" s="132"/>
      <c r="AN46" s="133"/>
      <c r="AO46" s="132"/>
      <c r="AP46" s="132"/>
      <c r="AT46" s="131"/>
      <c r="AU46" s="131" t="e">
        <f>ROUNDUP(#REF!/2,0)</f>
        <v>#REF!</v>
      </c>
      <c r="AV46" s="142" t="e">
        <f>#REF!-AU46</f>
        <v>#REF!</v>
      </c>
      <c r="AW46" s="131"/>
      <c r="AX46" s="132"/>
      <c r="BW46" s="119"/>
    </row>
    <row r="47" spans="2:75" ht="16.5" customHeight="1" thickBot="1">
      <c r="B47" s="173"/>
      <c r="E47" s="120"/>
      <c r="F47" s="233"/>
      <c r="G47" s="233"/>
      <c r="I47" s="226"/>
      <c r="J47" s="116"/>
      <c r="M47" s="176"/>
      <c r="N47" s="176"/>
      <c r="O47" s="176"/>
      <c r="R47" s="226"/>
      <c r="U47" s="123"/>
      <c r="V47" s="176"/>
      <c r="Y47" s="174"/>
      <c r="Z47" s="235"/>
      <c r="AI47" s="153"/>
      <c r="AJ47" s="116"/>
      <c r="AM47" s="132"/>
      <c r="AN47" s="133"/>
      <c r="AO47" s="132"/>
      <c r="AP47" s="132"/>
      <c r="AT47" s="131"/>
      <c r="AU47" s="131" t="e">
        <f>ROUNDUP(#REF!/2,0)</f>
        <v>#REF!</v>
      </c>
      <c r="AV47" s="142" t="e">
        <f>#REF!-AU47</f>
        <v>#REF!</v>
      </c>
      <c r="AW47" s="131"/>
      <c r="AX47" s="132"/>
    </row>
    <row r="48" spans="2:75" ht="16.5" customHeight="1" thickBot="1">
      <c r="B48" s="138"/>
      <c r="I48" s="226"/>
      <c r="J48" s="116"/>
      <c r="K48" s="175" t="s">
        <v>222</v>
      </c>
      <c r="L48" s="176"/>
      <c r="M48" s="176"/>
      <c r="N48" s="176"/>
      <c r="O48" s="176"/>
      <c r="P48" s="155" t="str">
        <f>IF(SUM('Notice de calcul'!$Q$61:$Q$62)&gt;0,"✔"," ")</f>
        <v xml:space="preserve"> </v>
      </c>
      <c r="R48" s="226"/>
      <c r="U48" s="123" t="s">
        <v>370</v>
      </c>
      <c r="V48" s="176"/>
      <c r="Y48" s="155" t="str">
        <f>IF(SUM('Notice de calcul'!$U$56:$U$59)+SUM('Notice de calcul'!$Z$56:$Z$59)+SUM('Notice de calcul'!$V$56:$V$59)+SUM('Notice de calcul'!$AA$56:$AA$59)&gt;0,"✔"," ")</f>
        <v xml:space="preserve"> </v>
      </c>
      <c r="Z48" s="235"/>
      <c r="AA48" s="178"/>
      <c r="AB48" s="174"/>
      <c r="AD48" s="120" t="s">
        <v>371</v>
      </c>
      <c r="AG48" s="176"/>
      <c r="AH48" s="386" t="str">
        <f>IF(('Notice de calcul'!$AF$60+'Notice de calcul'!$AI$60)&gt;0,"✔"," ")</f>
        <v xml:space="preserve"> </v>
      </c>
      <c r="AI48" s="153"/>
      <c r="AJ48" s="116"/>
      <c r="AM48" s="132"/>
      <c r="AN48" s="133"/>
      <c r="AO48" s="132"/>
      <c r="AP48" s="132"/>
      <c r="AT48" s="131"/>
      <c r="AU48" s="131"/>
      <c r="AV48" s="142"/>
      <c r="AW48" s="131"/>
      <c r="AX48" s="132"/>
    </row>
    <row r="49" spans="1:75" ht="16.5" customHeight="1" thickBot="1">
      <c r="B49" s="138"/>
      <c r="C49" s="231"/>
      <c r="D49" s="232"/>
      <c r="E49" s="234"/>
      <c r="F49" s="234"/>
      <c r="G49" s="234"/>
      <c r="H49" s="232"/>
      <c r="I49" s="225"/>
      <c r="J49" s="176"/>
      <c r="R49" s="226"/>
      <c r="V49" s="174"/>
      <c r="X49" s="176"/>
      <c r="Z49" s="236"/>
      <c r="AA49" s="123"/>
      <c r="AD49" s="120"/>
      <c r="AE49" s="176"/>
      <c r="AF49" s="180"/>
      <c r="AG49" s="152"/>
      <c r="AH49" s="174"/>
      <c r="AI49" s="153"/>
      <c r="AJ49" s="116"/>
      <c r="AM49" s="132"/>
      <c r="AN49" s="133"/>
      <c r="AO49" s="132"/>
      <c r="AP49" s="132"/>
      <c r="AT49" s="131"/>
      <c r="AU49" s="131"/>
      <c r="AV49" s="142"/>
      <c r="AW49" s="131"/>
      <c r="AX49" s="132"/>
    </row>
    <row r="50" spans="1:75" ht="16.5" customHeight="1" thickBot="1">
      <c r="B50" s="138"/>
      <c r="I50" s="226"/>
      <c r="J50" s="116"/>
      <c r="K50" s="175" t="s">
        <v>357</v>
      </c>
      <c r="P50" s="156" t="str">
        <f>IF(SUM('Notice de calcul'!$Q$64)&gt;0,"✔"," ")</f>
        <v xml:space="preserve"> </v>
      </c>
      <c r="R50" s="226"/>
      <c r="T50" s="177"/>
      <c r="U50" s="123" t="s">
        <v>416</v>
      </c>
      <c r="V50" s="176"/>
      <c r="Y50" s="155" t="str">
        <f>IF(SUM('Notice de calcul'!$V$64:$V$66)+SUM('Notice de calcul'!$AA$64:$AA$66)&gt;0,"✔"," ")</f>
        <v xml:space="preserve"> </v>
      </c>
      <c r="Z50" s="235"/>
      <c r="AI50" s="138"/>
      <c r="AM50" s="132"/>
      <c r="AN50" s="133"/>
      <c r="AO50" s="132"/>
      <c r="AP50" s="132"/>
      <c r="AT50" s="131"/>
      <c r="AU50" s="131"/>
      <c r="AV50" s="142"/>
      <c r="AW50" s="131"/>
      <c r="AX50" s="132"/>
    </row>
    <row r="51" spans="1:75" ht="16.5" customHeight="1" thickBot="1">
      <c r="B51" s="138"/>
      <c r="D51" s="232"/>
      <c r="E51" s="232"/>
      <c r="F51" s="232"/>
      <c r="G51" s="232"/>
      <c r="H51" s="232"/>
      <c r="I51" s="225"/>
      <c r="J51" s="176"/>
      <c r="R51" s="226"/>
      <c r="S51" s="174"/>
      <c r="T51" s="123"/>
      <c r="U51" s="175"/>
      <c r="Z51" s="235"/>
      <c r="AB51" s="176"/>
      <c r="AC51" s="176"/>
      <c r="AD51" s="385" t="s">
        <v>382</v>
      </c>
      <c r="AE51" s="178"/>
      <c r="AF51" s="176"/>
      <c r="AG51" s="138"/>
      <c r="AH51" s="386" t="str">
        <f>IF(('Notice de calcul'!AI66)&gt;0,"✔"," ")</f>
        <v xml:space="preserve"> </v>
      </c>
      <c r="AI51" s="138"/>
      <c r="AM51" s="132"/>
      <c r="AN51" s="133"/>
      <c r="AO51" s="132"/>
      <c r="AP51" s="132"/>
      <c r="AT51" s="131"/>
      <c r="AU51" s="131"/>
      <c r="AV51" s="142"/>
      <c r="AW51" s="131"/>
      <c r="AX51" s="132"/>
    </row>
    <row r="52" spans="1:75" ht="16.5" customHeight="1">
      <c r="B52" s="138"/>
      <c r="C52" s="232"/>
      <c r="F52" s="232"/>
      <c r="G52" s="232"/>
      <c r="H52" s="232"/>
      <c r="I52" s="225"/>
      <c r="J52" s="176"/>
      <c r="K52" s="175"/>
      <c r="P52" s="384" t="str">
        <f>IF(SUM('Notice de calcul'!$Q$64)&gt;0,"✔"," ")</f>
        <v xml:space="preserve"> </v>
      </c>
      <c r="Q52" s="179"/>
      <c r="R52" s="226"/>
      <c r="S52" s="176"/>
      <c r="T52" s="179"/>
      <c r="V52" s="174"/>
      <c r="W52" s="176"/>
      <c r="X52" s="176"/>
      <c r="Z52" s="236"/>
      <c r="AA52" s="123"/>
      <c r="AC52" s="174"/>
      <c r="AD52" s="385"/>
      <c r="AE52" s="178"/>
      <c r="AF52" s="176"/>
      <c r="AG52" s="138"/>
      <c r="AI52" s="138"/>
      <c r="AM52" s="132"/>
      <c r="AN52" s="133"/>
      <c r="AO52" s="132"/>
      <c r="AP52" s="132"/>
      <c r="AT52" s="131"/>
      <c r="AU52" s="131"/>
      <c r="AV52" s="142"/>
      <c r="AW52" s="131"/>
      <c r="AX52" s="132"/>
    </row>
    <row r="53" spans="1:75" ht="9" customHeight="1">
      <c r="B53" s="138"/>
      <c r="C53" s="157"/>
      <c r="D53" s="157"/>
      <c r="E53" s="157"/>
      <c r="F53" s="157"/>
      <c r="G53" s="157"/>
      <c r="H53" s="176"/>
      <c r="I53" s="181"/>
      <c r="J53" s="176"/>
      <c r="K53" s="176"/>
      <c r="L53" s="176"/>
      <c r="M53" s="176"/>
      <c r="N53" s="173"/>
      <c r="O53" s="174"/>
      <c r="P53" s="174"/>
      <c r="Q53" s="174"/>
      <c r="R53" s="174"/>
      <c r="S53" s="174"/>
      <c r="T53" s="174"/>
      <c r="U53" s="174"/>
      <c r="V53" s="174"/>
      <c r="W53" s="176"/>
      <c r="X53" s="176"/>
      <c r="Y53" s="173"/>
      <c r="Z53" s="176"/>
      <c r="AA53" s="176"/>
      <c r="AB53" s="176"/>
      <c r="AC53" s="176"/>
      <c r="AD53" s="174"/>
      <c r="AE53" s="174"/>
      <c r="AF53" s="176"/>
      <c r="AG53" s="138"/>
      <c r="AH53" s="138"/>
      <c r="AI53" s="138"/>
      <c r="AM53" s="132"/>
      <c r="AN53" s="133"/>
      <c r="AO53" s="132"/>
      <c r="AP53" s="132"/>
      <c r="AT53" s="131"/>
      <c r="AU53" s="131"/>
      <c r="AV53" s="142"/>
      <c r="AW53" s="131"/>
      <c r="AX53" s="132"/>
    </row>
    <row r="54" spans="1:75" ht="17.399999999999999">
      <c r="B54" s="431" t="s">
        <v>58</v>
      </c>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BW54" s="119"/>
    </row>
    <row r="55" spans="1:75" ht="5.25" customHeight="1">
      <c r="BH55" s="119"/>
      <c r="BI55" s="119"/>
      <c r="BJ55" s="119"/>
    </row>
    <row r="56" spans="1:75" ht="24" customHeight="1">
      <c r="B56" s="343"/>
      <c r="C56" s="341" t="s">
        <v>191</v>
      </c>
      <c r="D56" s="342"/>
      <c r="E56" s="342"/>
      <c r="F56" s="342"/>
      <c r="G56" s="342"/>
      <c r="H56" s="342"/>
      <c r="I56" s="342"/>
      <c r="J56" s="342"/>
      <c r="K56" s="342"/>
      <c r="L56" s="342"/>
      <c r="M56" s="336"/>
      <c r="N56" s="336"/>
      <c r="O56" s="336"/>
      <c r="P56" s="336"/>
      <c r="Q56" s="336"/>
      <c r="R56" s="336"/>
      <c r="S56" s="338" t="s">
        <v>59</v>
      </c>
      <c r="T56" s="339"/>
      <c r="U56" s="339"/>
      <c r="V56" s="339"/>
      <c r="W56" s="339"/>
      <c r="X56" s="340"/>
      <c r="Y56" s="340"/>
      <c r="Z56" s="339"/>
      <c r="AA56" s="340"/>
      <c r="AB56" s="337"/>
      <c r="AC56" s="337"/>
      <c r="AD56" s="337"/>
      <c r="AE56" s="337"/>
      <c r="AF56" s="458" t="e">
        <f>+'Notice de calcul'!AG73</f>
        <v>#DIV/0!</v>
      </c>
      <c r="AG56" s="458"/>
      <c r="AH56" s="458"/>
      <c r="AI56" s="344"/>
      <c r="AQ56" s="132"/>
      <c r="AR56" s="132"/>
      <c r="AS56" s="132"/>
      <c r="AT56" s="132"/>
      <c r="AU56" s="132"/>
      <c r="AV56" s="132"/>
      <c r="AW56" s="132"/>
      <c r="BW56" s="119"/>
    </row>
    <row r="57" spans="1:75" ht="13.5" customHeight="1">
      <c r="BH57" s="119"/>
      <c r="BI57" s="119"/>
      <c r="BJ57" s="119"/>
    </row>
    <row r="58" spans="1:75" ht="15.6">
      <c r="A58" s="150"/>
      <c r="C58" s="158" t="s">
        <v>60</v>
      </c>
      <c r="D58" s="159"/>
      <c r="E58" s="159"/>
      <c r="F58" s="159"/>
      <c r="G58" s="159"/>
      <c r="H58" s="159"/>
      <c r="I58" s="159"/>
      <c r="J58" s="159"/>
      <c r="K58" s="454">
        <v>125</v>
      </c>
      <c r="L58" s="455"/>
      <c r="M58" s="454">
        <v>250</v>
      </c>
      <c r="N58" s="455"/>
      <c r="P58" s="454">
        <v>500</v>
      </c>
      <c r="Q58" s="455"/>
      <c r="R58" s="454">
        <v>1000</v>
      </c>
      <c r="S58" s="455"/>
      <c r="U58" s="454">
        <v>2000</v>
      </c>
      <c r="V58" s="455"/>
      <c r="W58" s="454">
        <v>4000</v>
      </c>
      <c r="X58" s="455"/>
      <c r="AJ58" s="145"/>
      <c r="AN58" s="115"/>
      <c r="BW58" s="119"/>
    </row>
    <row r="59" spans="1:75" ht="15.6">
      <c r="C59" s="159"/>
      <c r="D59" s="160" t="s">
        <v>61</v>
      </c>
      <c r="E59" s="161"/>
      <c r="F59" s="161"/>
      <c r="G59" s="161"/>
      <c r="H59" s="161"/>
      <c r="I59" s="161"/>
      <c r="J59" s="161"/>
      <c r="K59" s="456" t="e">
        <f>+'Notice de calcul'!L78</f>
        <v>#DIV/0!</v>
      </c>
      <c r="L59" s="457"/>
      <c r="M59" s="456" t="e">
        <f>+'Notice de calcul'!N78</f>
        <v>#DIV/0!</v>
      </c>
      <c r="N59" s="457"/>
      <c r="P59" s="456" t="e">
        <f>+'Notice de calcul'!Q78</f>
        <v>#DIV/0!</v>
      </c>
      <c r="Q59" s="457"/>
      <c r="R59" s="456" t="e">
        <f>+'Notice de calcul'!T78</f>
        <v>#DIV/0!</v>
      </c>
      <c r="S59" s="459"/>
      <c r="U59" s="456" t="e">
        <f>+'Notice de calcul'!V78</f>
        <v>#DIV/0!</v>
      </c>
      <c r="V59" s="457"/>
      <c r="W59" s="456" t="e">
        <f>+'Notice de calcul'!Z78:Z78</f>
        <v>#DIV/0!</v>
      </c>
      <c r="X59" s="457"/>
      <c r="AJ59" s="145"/>
      <c r="AN59" s="115"/>
      <c r="BH59" s="150"/>
      <c r="BI59" s="150"/>
      <c r="BJ59" s="150"/>
    </row>
    <row r="60" spans="1:75" ht="15.6">
      <c r="C60" s="159"/>
      <c r="D60" s="162" t="s">
        <v>62</v>
      </c>
      <c r="E60" s="163"/>
      <c r="F60" s="163"/>
      <c r="G60" s="163"/>
      <c r="H60" s="163"/>
      <c r="I60" s="163"/>
      <c r="J60" s="163"/>
      <c r="K60" s="451" t="e">
        <f>+'Notice de calcul'!L79</f>
        <v>#DIV/0!</v>
      </c>
      <c r="L60" s="453"/>
      <c r="M60" s="451" t="e">
        <f>+'Notice de calcul'!N79</f>
        <v>#DIV/0!</v>
      </c>
      <c r="N60" s="453"/>
      <c r="P60" s="451" t="e">
        <f>+'Notice de calcul'!Q79</f>
        <v>#DIV/0!</v>
      </c>
      <c r="Q60" s="453"/>
      <c r="R60" s="451" t="e">
        <f>+'Notice de calcul'!T79</f>
        <v>#DIV/0!</v>
      </c>
      <c r="S60" s="452"/>
      <c r="U60" s="451" t="e">
        <f>+'Notice de calcul'!V79</f>
        <v>#DIV/0!</v>
      </c>
      <c r="V60" s="453"/>
      <c r="W60" s="451" t="e">
        <f>+'Notice de calcul'!Z79:Z79</f>
        <v>#DIV/0!</v>
      </c>
      <c r="X60" s="453"/>
      <c r="AJ60" s="145"/>
      <c r="AN60" s="115"/>
      <c r="BW60" s="119"/>
    </row>
    <row r="61" spans="1:75" ht="16.5" customHeight="1">
      <c r="C61" s="159"/>
      <c r="D61" s="159"/>
      <c r="E61" s="159"/>
      <c r="F61" s="159"/>
      <c r="G61" s="159"/>
      <c r="H61" s="164"/>
      <c r="I61" s="159"/>
      <c r="J61" s="159"/>
      <c r="K61" s="159"/>
      <c r="L61" s="159"/>
      <c r="M61" s="159"/>
      <c r="N61" s="159"/>
      <c r="O61" s="159"/>
      <c r="P61" s="159"/>
      <c r="Q61" s="159"/>
      <c r="R61" s="159"/>
      <c r="S61" s="159"/>
      <c r="T61" s="159"/>
      <c r="U61" s="159"/>
      <c r="V61" s="159"/>
      <c r="W61" s="159"/>
      <c r="X61" s="159"/>
      <c r="Y61" s="159"/>
      <c r="Z61" s="159"/>
      <c r="AJ61" s="145"/>
      <c r="AN61" s="115"/>
      <c r="BI61" s="119"/>
    </row>
    <row r="62" spans="1:75" ht="15.6">
      <c r="C62" s="158" t="s">
        <v>60</v>
      </c>
      <c r="D62" s="159"/>
      <c r="E62" s="159"/>
      <c r="F62" s="159"/>
      <c r="G62" s="159"/>
      <c r="H62" s="159"/>
      <c r="I62" s="159"/>
      <c r="J62" s="159"/>
      <c r="K62" s="454" t="s">
        <v>63</v>
      </c>
      <c r="L62" s="460"/>
      <c r="M62" s="460"/>
      <c r="N62" s="455"/>
      <c r="P62" s="454" t="s">
        <v>64</v>
      </c>
      <c r="Q62" s="464"/>
      <c r="R62" s="464"/>
      <c r="S62" s="465"/>
      <c r="T62" s="159"/>
      <c r="U62" s="454" t="s">
        <v>65</v>
      </c>
      <c r="V62" s="464"/>
      <c r="W62" s="464"/>
      <c r="X62" s="465"/>
      <c r="Y62" s="159"/>
      <c r="Z62" s="159"/>
      <c r="AJ62" s="145"/>
      <c r="AN62" s="115"/>
      <c r="BW62" s="119"/>
    </row>
    <row r="63" spans="1:75" ht="15.6">
      <c r="C63" s="159"/>
      <c r="D63" s="160" t="s">
        <v>61</v>
      </c>
      <c r="E63" s="161"/>
      <c r="F63" s="161"/>
      <c r="G63" s="161"/>
      <c r="H63" s="161"/>
      <c r="I63" s="161"/>
      <c r="J63" s="161"/>
      <c r="K63" s="461" t="e">
        <f>+'Notice de calcul'!L82</f>
        <v>#DIV/0!</v>
      </c>
      <c r="L63" s="462"/>
      <c r="M63" s="462"/>
      <c r="N63" s="463"/>
      <c r="P63" s="466" t="e">
        <f>+'Notice de calcul'!Q82</f>
        <v>#DIV/0!</v>
      </c>
      <c r="Q63" s="467"/>
      <c r="R63" s="467"/>
      <c r="S63" s="468"/>
      <c r="T63" s="159"/>
      <c r="U63" s="466" t="e">
        <f>+'Notice de calcul'!V82</f>
        <v>#DIV/0!</v>
      </c>
      <c r="V63" s="467"/>
      <c r="W63" s="467"/>
      <c r="X63" s="468"/>
      <c r="Y63" s="159"/>
      <c r="Z63" s="159"/>
      <c r="AJ63" s="145"/>
      <c r="AN63" s="115"/>
    </row>
    <row r="64" spans="1:75" ht="15.6">
      <c r="C64" s="159"/>
      <c r="D64" s="162" t="s">
        <v>62</v>
      </c>
      <c r="E64" s="163"/>
      <c r="F64" s="163"/>
      <c r="G64" s="163"/>
      <c r="H64" s="163"/>
      <c r="I64" s="163"/>
      <c r="J64" s="163"/>
      <c r="K64" s="472" t="e">
        <f>+'Notice de calcul'!L83</f>
        <v>#DIV/0!</v>
      </c>
      <c r="L64" s="473"/>
      <c r="M64" s="473"/>
      <c r="N64" s="474"/>
      <c r="P64" s="469" t="e">
        <f>+'Notice de calcul'!Q83</f>
        <v>#DIV/0!</v>
      </c>
      <c r="Q64" s="470"/>
      <c r="R64" s="470"/>
      <c r="S64" s="471"/>
      <c r="T64" s="159"/>
      <c r="U64" s="469" t="e">
        <f>+'Notice de calcul'!V83</f>
        <v>#DIV/0!</v>
      </c>
      <c r="V64" s="470"/>
      <c r="W64" s="470"/>
      <c r="X64" s="471"/>
      <c r="Y64" s="159"/>
      <c r="Z64" s="159"/>
      <c r="AJ64" s="145"/>
      <c r="AN64" s="115"/>
      <c r="BJ64" s="16"/>
    </row>
    <row r="65" spans="10:62" ht="20.25" customHeight="1">
      <c r="J65" s="116"/>
      <c r="AN65" s="115"/>
      <c r="BJ65" s="16"/>
    </row>
    <row r="66" spans="10:62">
      <c r="W66" s="138"/>
      <c r="X66" s="138"/>
      <c r="AN66" s="115"/>
    </row>
    <row r="67" spans="10:62">
      <c r="W67" s="138"/>
      <c r="X67" s="138"/>
      <c r="AN67" s="115"/>
    </row>
    <row r="68" spans="10:62">
      <c r="W68" s="138"/>
      <c r="X68" s="138"/>
      <c r="AN68" s="115"/>
    </row>
    <row r="69" spans="10:62">
      <c r="AN69" s="115"/>
      <c r="BH69" s="150"/>
    </row>
    <row r="70" spans="10:62">
      <c r="AN70" s="115"/>
    </row>
    <row r="71" spans="10:62">
      <c r="AN71" s="115"/>
    </row>
    <row r="72" spans="10:62">
      <c r="AN72" s="115"/>
    </row>
    <row r="73" spans="10:62">
      <c r="AN73" s="115"/>
    </row>
    <row r="74" spans="10:62">
      <c r="AN74" s="115"/>
    </row>
    <row r="75" spans="10:62">
      <c r="AN75" s="115"/>
    </row>
    <row r="76" spans="10:62">
      <c r="AN76" s="115"/>
    </row>
    <row r="77" spans="10:62">
      <c r="AN77" s="115"/>
    </row>
    <row r="78" spans="10:62">
      <c r="AN78" s="115"/>
    </row>
  </sheetData>
  <sheetProtection algorithmName="SHA-512" hashValue="xGR64u9om1Vj/0OUm2V/O4tBd2ekCiSv21SY7o+trXbXCPqx+8DB3+NImwZHbU36O+iAOwhRATNJZOJTzZ7CLA==" saltValue="YKxlvGGpzYw6JLFNi2X6Rg==" spinCount="100000" sheet="1" objects="1" scenarios="1" selectLockedCells="1" selectUnlockedCells="1"/>
  <dataConsolidate/>
  <mergeCells count="59">
    <mergeCell ref="J3:AI3"/>
    <mergeCell ref="J4:U4"/>
    <mergeCell ref="V4:AI4"/>
    <mergeCell ref="AD24:AH24"/>
    <mergeCell ref="AD25:AH25"/>
    <mergeCell ref="T25:Y25"/>
    <mergeCell ref="B30:AI30"/>
    <mergeCell ref="AF32:AH32"/>
    <mergeCell ref="D24:H24"/>
    <mergeCell ref="D25:H25"/>
    <mergeCell ref="T24:Y24"/>
    <mergeCell ref="K62:N62"/>
    <mergeCell ref="K63:N63"/>
    <mergeCell ref="U62:X62"/>
    <mergeCell ref="U63:X63"/>
    <mergeCell ref="U64:X64"/>
    <mergeCell ref="P63:S63"/>
    <mergeCell ref="P64:S64"/>
    <mergeCell ref="P62:S62"/>
    <mergeCell ref="K64:N64"/>
    <mergeCell ref="W59:X59"/>
    <mergeCell ref="AF56:AH56"/>
    <mergeCell ref="R58:S58"/>
    <mergeCell ref="U58:V58"/>
    <mergeCell ref="W58:X58"/>
    <mergeCell ref="R59:S59"/>
    <mergeCell ref="U59:V59"/>
    <mergeCell ref="F7:H7"/>
    <mergeCell ref="L24:P24"/>
    <mergeCell ref="R60:S60"/>
    <mergeCell ref="U60:V60"/>
    <mergeCell ref="B54:AI54"/>
    <mergeCell ref="K58:L58"/>
    <mergeCell ref="M58:N58"/>
    <mergeCell ref="P58:Q58"/>
    <mergeCell ref="K59:L59"/>
    <mergeCell ref="M59:N59"/>
    <mergeCell ref="P59:Q59"/>
    <mergeCell ref="K60:L60"/>
    <mergeCell ref="M60:N60"/>
    <mergeCell ref="P60:Q60"/>
    <mergeCell ref="AF33:AH33"/>
    <mergeCell ref="W60:X60"/>
    <mergeCell ref="AF34:AH34"/>
    <mergeCell ref="L25:P25"/>
    <mergeCell ref="B35:AI35"/>
    <mergeCell ref="B6:AI6"/>
    <mergeCell ref="AE7:AH7"/>
    <mergeCell ref="B9:AI9"/>
    <mergeCell ref="AG27:AI27"/>
    <mergeCell ref="T19:Y19"/>
    <mergeCell ref="Z20:AE20"/>
    <mergeCell ref="B22:AI22"/>
    <mergeCell ref="Z17:AE17"/>
    <mergeCell ref="AC13:AH13"/>
    <mergeCell ref="AC11:AH11"/>
    <mergeCell ref="AC15:AH15"/>
    <mergeCell ref="H11:Q11"/>
    <mergeCell ref="H13:Q13"/>
  </mergeCells>
  <dataValidations disablePrompts="1" count="1">
    <dataValidation type="whole" operator="greaterThanOrEqual" allowBlank="1" showInputMessage="1" showErrorMessage="1" sqref="T19" xr:uid="{00000000-0002-0000-0100-000000000000}">
      <formula1>0</formula1>
    </dataValidation>
  </dataValidations>
  <printOptions horizontalCentered="1" verticalCentered="1"/>
  <pageMargins left="0.23622047244094491" right="0.23622047244094491" top="0.15748031496062992" bottom="0.15748031496062992" header="0.31496062992125984" footer="0.31496062992125984"/>
  <pageSetup paperSize="9" scale="76" orientation="portrait" r:id="rId1"/>
  <rowBreaks count="1" manualBreakCount="1">
    <brk id="53" min="1" max="3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2:BX107"/>
  <sheetViews>
    <sheetView showGridLines="0" tabSelected="1" zoomScale="90" zoomScaleNormal="90" zoomScaleSheetLayoutView="85" zoomScalePageLayoutView="70" workbookViewId="0">
      <selection activeCell="AP62" sqref="AP62"/>
    </sheetView>
  </sheetViews>
  <sheetFormatPr baseColWidth="10" defaultColWidth="11.44140625" defaultRowHeight="13.8"/>
  <cols>
    <col min="1" max="1" width="1" style="115" customWidth="1"/>
    <col min="2" max="2" width="2.21875" style="115" customWidth="1"/>
    <col min="3" max="3" width="3.44140625" style="115" customWidth="1"/>
    <col min="4" max="5" width="4.6640625" style="115" customWidth="1"/>
    <col min="6" max="6" width="1.21875" style="115" customWidth="1"/>
    <col min="7" max="7" width="4.6640625" style="115" customWidth="1"/>
    <col min="8" max="8" width="0.6640625" style="115" customWidth="1"/>
    <col min="9" max="9" width="5.5546875" style="115" customWidth="1"/>
    <col min="10" max="10" width="1.6640625" style="115" customWidth="1"/>
    <col min="11" max="11" width="3.21875" style="115" customWidth="1"/>
    <col min="12" max="13" width="4.109375" style="115" customWidth="1"/>
    <col min="14" max="14" width="4.5546875" style="115" customWidth="1"/>
    <col min="15" max="15" width="1.5546875" style="115" customWidth="1"/>
    <col min="16" max="16" width="4.5546875" style="115" customWidth="1"/>
    <col min="17" max="17" width="5" style="115" customWidth="1"/>
    <col min="18" max="18" width="4.5546875" style="115" customWidth="1"/>
    <col min="19" max="19" width="0.6640625" style="115" customWidth="1"/>
    <col min="20" max="20" width="5.5546875" style="115" customWidth="1"/>
    <col min="21" max="22" width="4.109375" style="115" customWidth="1"/>
    <col min="23" max="23" width="4.6640625" style="115" customWidth="1"/>
    <col min="24" max="24" width="3.6640625" style="115" customWidth="1"/>
    <col min="25" max="25" width="2.44140625" style="115" customWidth="1"/>
    <col min="26" max="27" width="4" style="115" customWidth="1"/>
    <col min="28" max="28" width="0.6640625" style="115" customWidth="1"/>
    <col min="29" max="29" width="4.109375" style="115" customWidth="1"/>
    <col min="30" max="30" width="2.5546875" style="115" customWidth="1"/>
    <col min="31" max="31" width="4.109375" style="115" customWidth="1"/>
    <col min="32" max="32" width="4.5546875" style="115" customWidth="1"/>
    <col min="33" max="33" width="3.5546875" style="115" customWidth="1"/>
    <col min="34" max="34" width="6" style="115" customWidth="1"/>
    <col min="35" max="35" width="4.5546875" style="115" customWidth="1"/>
    <col min="36" max="36" width="1.6640625" style="115" customWidth="1"/>
    <col min="37" max="37" width="6.21875" style="115" bestFit="1" customWidth="1"/>
    <col min="38" max="38" width="8" style="115" bestFit="1" customWidth="1"/>
    <col min="39" max="39" width="9" style="115" customWidth="1"/>
    <col min="40" max="40" width="5.5546875" style="115" bestFit="1" customWidth="1"/>
    <col min="41" max="41" width="16.21875" style="118" customWidth="1"/>
    <col min="42" max="42" width="10.6640625" style="115" customWidth="1"/>
    <col min="43" max="43" width="12" style="115" customWidth="1"/>
    <col min="44" max="45" width="11.44140625" style="115"/>
    <col min="46" max="46" width="27.6640625" style="115" bestFit="1" customWidth="1"/>
    <col min="47" max="60" width="11.44140625" style="115"/>
    <col min="61" max="61" width="18.21875" style="115" bestFit="1" customWidth="1"/>
    <col min="62" max="62" width="6.21875" style="115" bestFit="1" customWidth="1"/>
    <col min="63" max="63" width="5" style="115" bestFit="1" customWidth="1"/>
    <col min="64" max="64" width="9.6640625" style="115" bestFit="1" customWidth="1"/>
    <col min="65" max="65" width="5.5546875" style="115" bestFit="1" customWidth="1"/>
    <col min="66" max="66" width="5.6640625" style="115" bestFit="1" customWidth="1"/>
    <col min="67" max="68" width="5.5546875" style="115" bestFit="1" customWidth="1"/>
    <col min="69" max="69" width="2" style="115" bestFit="1" customWidth="1"/>
    <col min="70" max="70" width="5.5546875" style="115" bestFit="1" customWidth="1"/>
    <col min="71" max="71" width="11.44140625" style="115"/>
    <col min="72" max="72" width="2" style="115" bestFit="1" customWidth="1"/>
    <col min="73" max="101" width="11.44140625" style="115"/>
    <col min="102" max="102" width="5.6640625" style="115" bestFit="1" customWidth="1"/>
    <col min="103" max="16384" width="11.44140625" style="115"/>
  </cols>
  <sheetData>
    <row r="2" spans="1:76" ht="4.5" customHeigh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row>
    <row r="3" spans="1:76" s="119" customFormat="1" ht="24.75" customHeight="1">
      <c r="A3" s="255"/>
      <c r="B3" s="255"/>
      <c r="C3" s="255"/>
      <c r="D3" s="255"/>
      <c r="E3" s="255"/>
      <c r="F3" s="255"/>
      <c r="G3" s="255"/>
      <c r="H3" s="255"/>
      <c r="I3" s="255"/>
      <c r="J3" s="272" t="s">
        <v>330</v>
      </c>
      <c r="K3" s="365"/>
      <c r="L3" s="365"/>
      <c r="M3" s="365"/>
      <c r="N3" s="365"/>
      <c r="O3" s="365"/>
      <c r="P3" s="486" t="s">
        <v>295</v>
      </c>
      <c r="Q3" s="487"/>
      <c r="R3" s="487"/>
      <c r="S3" s="487"/>
      <c r="T3" s="487"/>
      <c r="U3" s="487"/>
      <c r="V3" s="487"/>
      <c r="W3" s="487"/>
      <c r="X3" s="487"/>
      <c r="Y3" s="487"/>
      <c r="Z3" s="487"/>
      <c r="AA3" s="487"/>
      <c r="AB3" s="487"/>
      <c r="AC3" s="487"/>
      <c r="AD3" s="487"/>
      <c r="AE3" s="487"/>
      <c r="AF3" s="487"/>
      <c r="AG3" s="487"/>
      <c r="AH3" s="487"/>
      <c r="AI3" s="487"/>
      <c r="AJ3" s="488"/>
      <c r="BX3" s="119">
        <v>1</v>
      </c>
    </row>
    <row r="4" spans="1:76" ht="24.75" customHeight="1">
      <c r="A4" s="254"/>
      <c r="B4" s="254"/>
      <c r="C4" s="254"/>
      <c r="D4" s="254"/>
      <c r="E4" s="254"/>
      <c r="F4" s="254"/>
      <c r="G4" s="254"/>
      <c r="H4" s="254"/>
      <c r="I4" s="254"/>
      <c r="J4" s="272"/>
      <c r="K4" s="366"/>
      <c r="L4" s="366"/>
      <c r="M4" s="366" t="str">
        <f>VLOOKUP(P3,Feuil1!$A$3:$C$18,2,FALSE)</f>
        <v>Téléphone</v>
      </c>
      <c r="N4" s="366"/>
      <c r="O4" s="366"/>
      <c r="P4" s="366"/>
      <c r="Q4" s="366"/>
      <c r="R4" s="366"/>
      <c r="S4" s="366"/>
      <c r="T4" s="366"/>
      <c r="U4" s="367"/>
      <c r="V4" s="272"/>
      <c r="W4" s="366" t="str">
        <f>VLOOKUP(P3,Feuil1!$A$3:$C$18,3,FALSE)</f>
        <v>Adresse e-mail</v>
      </c>
      <c r="X4" s="368"/>
      <c r="Y4" s="368"/>
      <c r="Z4" s="368"/>
      <c r="AA4" s="368"/>
      <c r="AB4" s="368"/>
      <c r="AC4" s="368"/>
      <c r="AD4" s="368"/>
      <c r="AE4" s="368"/>
      <c r="AF4" s="368"/>
      <c r="AG4" s="368"/>
      <c r="AH4" s="368"/>
      <c r="AI4" s="368"/>
      <c r="AJ4" s="369"/>
      <c r="BT4" s="16"/>
    </row>
    <row r="5" spans="1:76" ht="24.75" customHeight="1">
      <c r="A5" s="254"/>
      <c r="B5" s="254"/>
      <c r="C5" s="254"/>
      <c r="D5" s="254"/>
      <c r="E5" s="254"/>
      <c r="F5" s="254"/>
      <c r="G5" s="254"/>
      <c r="H5" s="254"/>
      <c r="I5" s="254"/>
      <c r="J5" s="358"/>
      <c r="K5" s="359"/>
      <c r="L5" s="359"/>
      <c r="M5" s="359"/>
      <c r="N5" s="359"/>
      <c r="O5" s="359"/>
      <c r="P5" s="359"/>
      <c r="Q5" s="359"/>
      <c r="R5" s="359"/>
      <c r="S5" s="359"/>
      <c r="T5" s="359"/>
      <c r="U5" s="359"/>
      <c r="V5" s="358"/>
      <c r="W5" s="359"/>
      <c r="X5" s="360"/>
      <c r="Y5" s="360"/>
      <c r="Z5" s="360"/>
      <c r="AA5" s="360"/>
      <c r="AB5" s="360"/>
      <c r="AC5" s="360"/>
      <c r="AD5" s="360"/>
      <c r="AE5" s="360"/>
      <c r="AF5" s="360"/>
      <c r="AG5" s="360"/>
      <c r="AH5" s="360"/>
      <c r="AI5" s="360"/>
      <c r="AJ5" s="360"/>
      <c r="BT5" s="16"/>
    </row>
    <row r="6" spans="1:76">
      <c r="A6" s="254"/>
      <c r="B6" s="567" t="s">
        <v>145</v>
      </c>
      <c r="C6" s="567"/>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row>
    <row r="7" spans="1:76" ht="20.25" customHeight="1">
      <c r="A7" s="254"/>
      <c r="B7" s="255" t="s">
        <v>2</v>
      </c>
      <c r="C7" s="254"/>
      <c r="D7" s="254"/>
      <c r="E7" s="254"/>
      <c r="F7" s="570"/>
      <c r="G7" s="495"/>
      <c r="H7" s="495"/>
      <c r="I7" s="495"/>
      <c r="J7" s="495"/>
      <c r="K7" s="495"/>
      <c r="L7" s="495"/>
      <c r="M7" s="495"/>
      <c r="N7" s="495"/>
      <c r="O7" s="495"/>
      <c r="P7" s="495"/>
      <c r="Q7" s="254"/>
      <c r="R7" s="255" t="s">
        <v>4</v>
      </c>
      <c r="S7" s="255"/>
      <c r="T7" s="254"/>
      <c r="U7" s="494"/>
      <c r="V7" s="495"/>
      <c r="W7" s="495"/>
      <c r="X7" s="495"/>
      <c r="Y7" s="495"/>
      <c r="Z7" s="495"/>
      <c r="AA7" s="495"/>
      <c r="AB7" s="121"/>
      <c r="AC7" s="255" t="s">
        <v>3</v>
      </c>
      <c r="AD7" s="254"/>
      <c r="AE7" s="254"/>
      <c r="AF7" s="571"/>
      <c r="AG7" s="572"/>
      <c r="AH7" s="572"/>
      <c r="AI7" s="572"/>
      <c r="AJ7" s="254"/>
    </row>
    <row r="8" spans="1:76" ht="20.25" customHeight="1">
      <c r="A8" s="254"/>
      <c r="B8" s="256" t="s">
        <v>146</v>
      </c>
      <c r="C8" s="254"/>
      <c r="D8" s="254"/>
      <c r="E8" s="254"/>
      <c r="F8" s="254"/>
      <c r="G8" s="570"/>
      <c r="H8" s="570"/>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254"/>
    </row>
    <row r="9" spans="1:76" ht="4.5" customHeight="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BT9" s="16"/>
      <c r="BX9" s="115">
        <v>7</v>
      </c>
    </row>
    <row r="10" spans="1:76" s="119" customFormat="1" ht="14.4">
      <c r="A10" s="255"/>
      <c r="B10" s="567" t="s">
        <v>5</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BT10" s="115"/>
      <c r="BU10" s="115"/>
      <c r="BX10" s="115">
        <v>8</v>
      </c>
    </row>
    <row r="11" spans="1:76" ht="6" customHeight="1">
      <c r="A11" s="254"/>
      <c r="B11" s="254"/>
      <c r="C11" s="254"/>
      <c r="D11" s="254"/>
      <c r="E11" s="254"/>
      <c r="F11" s="254"/>
      <c r="G11" s="254"/>
      <c r="H11" s="254"/>
      <c r="I11" s="254"/>
      <c r="J11" s="254"/>
      <c r="K11" s="254"/>
      <c r="L11" s="254"/>
      <c r="M11" s="254"/>
      <c r="N11" s="254"/>
      <c r="O11" s="254"/>
      <c r="P11" s="254"/>
      <c r="Q11" s="254"/>
      <c r="R11" s="254"/>
      <c r="S11" s="254"/>
      <c r="T11" s="254"/>
      <c r="U11" s="257"/>
      <c r="V11" s="254"/>
      <c r="W11" s="254"/>
      <c r="X11" s="254"/>
      <c r="Y11" s="254"/>
      <c r="Z11" s="254"/>
      <c r="AA11" s="254"/>
      <c r="AB11" s="254"/>
      <c r="AC11" s="254"/>
      <c r="AD11" s="254"/>
      <c r="AE11" s="254"/>
      <c r="AF11" s="254"/>
      <c r="AG11" s="254"/>
      <c r="AH11" s="254"/>
      <c r="AI11" s="254"/>
      <c r="AJ11" s="254"/>
      <c r="BX11" s="119">
        <v>9</v>
      </c>
    </row>
    <row r="12" spans="1:76" ht="14.4">
      <c r="A12" s="254"/>
      <c r="B12" s="254"/>
      <c r="C12" s="255" t="s">
        <v>6</v>
      </c>
      <c r="D12" s="255"/>
      <c r="E12" s="255"/>
      <c r="F12" s="255"/>
      <c r="G12" s="255"/>
      <c r="H12" s="255"/>
      <c r="I12" s="573"/>
      <c r="J12" s="574"/>
      <c r="K12" s="574"/>
      <c r="L12" s="574"/>
      <c r="M12" s="574"/>
      <c r="N12" s="574"/>
      <c r="O12" s="574"/>
      <c r="P12" s="574"/>
      <c r="Q12" s="574"/>
      <c r="R12" s="575"/>
      <c r="S12" s="121"/>
      <c r="T12" s="254"/>
      <c r="U12" s="255" t="s">
        <v>10</v>
      </c>
      <c r="V12" s="254"/>
      <c r="W12" s="254"/>
      <c r="X12" s="254"/>
      <c r="Y12" s="254"/>
      <c r="Z12" s="254"/>
      <c r="AA12" s="254"/>
      <c r="AB12" s="254"/>
      <c r="AC12" s="258" t="s">
        <v>11</v>
      </c>
      <c r="AD12" s="501"/>
      <c r="AE12" s="502"/>
      <c r="AF12" s="502"/>
      <c r="AG12" s="502"/>
      <c r="AH12" s="502"/>
      <c r="AI12" s="503"/>
      <c r="AJ12" s="255" t="s">
        <v>12</v>
      </c>
      <c r="BX12" s="115">
        <v>10</v>
      </c>
    </row>
    <row r="13" spans="1:76" ht="3" customHeight="1">
      <c r="A13" s="254"/>
      <c r="B13" s="254"/>
      <c r="C13" s="255"/>
      <c r="D13" s="255"/>
      <c r="E13" s="255"/>
      <c r="F13" s="255"/>
      <c r="G13" s="255"/>
      <c r="H13" s="255"/>
      <c r="I13" s="255"/>
      <c r="J13" s="255"/>
      <c r="K13" s="259"/>
      <c r="L13" s="259"/>
      <c r="M13" s="260"/>
      <c r="N13" s="259"/>
      <c r="O13" s="259"/>
      <c r="P13" s="259"/>
      <c r="Q13" s="255"/>
      <c r="R13" s="255"/>
      <c r="S13" s="255"/>
      <c r="T13" s="254"/>
      <c r="U13" s="255"/>
      <c r="V13" s="254"/>
      <c r="W13" s="254"/>
      <c r="X13" s="254"/>
      <c r="Y13" s="254"/>
      <c r="Z13" s="254"/>
      <c r="AA13" s="255"/>
      <c r="AB13" s="254"/>
      <c r="AC13" s="254"/>
      <c r="AD13" s="261"/>
      <c r="AE13" s="262"/>
      <c r="AF13" s="261"/>
      <c r="AG13" s="261"/>
      <c r="AH13" s="261"/>
      <c r="AI13" s="261"/>
      <c r="AJ13" s="255"/>
      <c r="BX13" s="119">
        <v>11</v>
      </c>
    </row>
    <row r="14" spans="1:76" ht="14.4">
      <c r="A14" s="254"/>
      <c r="B14" s="254"/>
      <c r="C14" s="263" t="s">
        <v>271</v>
      </c>
      <c r="D14" s="255"/>
      <c r="E14" s="255"/>
      <c r="F14" s="255"/>
      <c r="G14" s="255"/>
      <c r="H14" s="255"/>
      <c r="I14" s="573"/>
      <c r="J14" s="574"/>
      <c r="K14" s="574"/>
      <c r="L14" s="574"/>
      <c r="M14" s="574"/>
      <c r="N14" s="574"/>
      <c r="O14" s="574"/>
      <c r="P14" s="574"/>
      <c r="Q14" s="574"/>
      <c r="R14" s="575"/>
      <c r="S14" s="121"/>
      <c r="T14" s="254"/>
      <c r="U14" s="255" t="s">
        <v>13</v>
      </c>
      <c r="V14" s="254"/>
      <c r="W14" s="254"/>
      <c r="X14" s="254"/>
      <c r="Y14" s="254"/>
      <c r="Z14" s="254"/>
      <c r="AA14" s="254"/>
      <c r="AB14" s="254"/>
      <c r="AC14" s="258" t="s">
        <v>14</v>
      </c>
      <c r="AD14" s="501"/>
      <c r="AE14" s="502"/>
      <c r="AF14" s="502"/>
      <c r="AG14" s="502"/>
      <c r="AH14" s="502"/>
      <c r="AI14" s="503"/>
      <c r="AJ14" s="255" t="s">
        <v>12</v>
      </c>
      <c r="BT14" s="16" t="s">
        <v>122</v>
      </c>
      <c r="BU14" s="115" t="s">
        <v>123</v>
      </c>
      <c r="BX14" s="115">
        <v>12</v>
      </c>
    </row>
    <row r="15" spans="1:76" ht="3" customHeight="1">
      <c r="A15" s="254"/>
      <c r="B15" s="254"/>
      <c r="C15" s="255"/>
      <c r="D15" s="255"/>
      <c r="E15" s="255"/>
      <c r="F15" s="255"/>
      <c r="G15" s="255"/>
      <c r="H15" s="255"/>
      <c r="I15" s="255"/>
      <c r="J15" s="255"/>
      <c r="K15" s="255"/>
      <c r="L15" s="255"/>
      <c r="M15" s="255"/>
      <c r="N15" s="255"/>
      <c r="O15" s="255"/>
      <c r="P15" s="254"/>
      <c r="Q15" s="255"/>
      <c r="R15" s="255"/>
      <c r="S15" s="255"/>
      <c r="T15" s="254"/>
      <c r="U15" s="255"/>
      <c r="V15" s="259"/>
      <c r="W15" s="259"/>
      <c r="X15" s="259"/>
      <c r="Y15" s="259"/>
      <c r="Z15" s="259"/>
      <c r="AA15" s="255"/>
      <c r="AB15" s="254"/>
      <c r="AC15" s="254"/>
      <c r="AD15" s="261"/>
      <c r="AE15" s="262"/>
      <c r="AF15" s="261"/>
      <c r="AG15" s="261"/>
      <c r="AH15" s="261"/>
      <c r="AI15" s="261"/>
      <c r="AJ15" s="255"/>
      <c r="BU15" s="115" t="s">
        <v>124</v>
      </c>
      <c r="BX15" s="119">
        <v>13</v>
      </c>
    </row>
    <row r="16" spans="1:76" ht="15.75" customHeight="1">
      <c r="A16" s="254"/>
      <c r="B16" s="254"/>
      <c r="C16" s="254"/>
      <c r="D16" s="255"/>
      <c r="E16" s="255"/>
      <c r="F16" s="255"/>
      <c r="G16" s="255"/>
      <c r="H16" s="255"/>
      <c r="I16" s="255"/>
      <c r="J16" s="255"/>
      <c r="K16" s="255"/>
      <c r="L16" s="255"/>
      <c r="M16" s="393"/>
      <c r="N16" s="255"/>
      <c r="O16" s="255"/>
      <c r="P16" s="254"/>
      <c r="Q16" s="254"/>
      <c r="R16" s="254"/>
      <c r="S16" s="254"/>
      <c r="T16" s="254"/>
      <c r="U16" s="255" t="s">
        <v>15</v>
      </c>
      <c r="V16" s="254"/>
      <c r="W16" s="254"/>
      <c r="X16" s="254"/>
      <c r="Y16" s="254"/>
      <c r="Z16" s="254"/>
      <c r="AA16" s="254"/>
      <c r="AB16" s="254"/>
      <c r="AC16" s="258" t="s">
        <v>16</v>
      </c>
      <c r="AD16" s="501"/>
      <c r="AE16" s="502"/>
      <c r="AF16" s="502"/>
      <c r="AG16" s="502"/>
      <c r="AH16" s="502"/>
      <c r="AI16" s="503"/>
      <c r="AJ16" s="255" t="s">
        <v>12</v>
      </c>
      <c r="BU16" s="115" t="s">
        <v>125</v>
      </c>
      <c r="BX16" s="115">
        <v>14</v>
      </c>
    </row>
    <row r="17" spans="1:76" ht="19.5" hidden="1" customHeight="1">
      <c r="A17" s="254"/>
      <c r="B17" s="254"/>
      <c r="C17" s="254"/>
      <c r="D17" s="255"/>
      <c r="E17" s="255"/>
      <c r="F17" s="255"/>
      <c r="G17" s="255"/>
      <c r="H17" s="255"/>
      <c r="I17" s="255"/>
      <c r="J17" s="255"/>
      <c r="K17" s="255"/>
      <c r="L17" s="255"/>
      <c r="M17" s="255"/>
      <c r="N17" s="255"/>
      <c r="O17" s="255"/>
      <c r="P17" s="254"/>
      <c r="Q17" s="255"/>
      <c r="R17" s="255"/>
      <c r="S17" s="255"/>
      <c r="T17" s="254"/>
      <c r="U17" s="254"/>
      <c r="V17" s="254"/>
      <c r="W17" s="254"/>
      <c r="X17" s="254"/>
      <c r="Y17" s="254"/>
      <c r="Z17" s="254"/>
      <c r="AA17" s="254"/>
      <c r="AB17" s="254"/>
      <c r="AC17" s="254"/>
      <c r="AD17" s="254"/>
      <c r="AE17" s="254"/>
      <c r="AF17" s="254"/>
      <c r="AG17" s="254"/>
      <c r="AH17" s="254"/>
      <c r="AI17" s="254"/>
      <c r="AJ17" s="254"/>
      <c r="BU17" s="115" t="s">
        <v>126</v>
      </c>
      <c r="BX17" s="119">
        <v>15</v>
      </c>
    </row>
    <row r="18" spans="1:76" ht="19.5" hidden="1" customHeight="1">
      <c r="A18" s="254"/>
      <c r="B18" s="254"/>
      <c r="C18" s="255" t="s">
        <v>17</v>
      </c>
      <c r="D18" s="255"/>
      <c r="E18" s="255"/>
      <c r="F18" s="255"/>
      <c r="G18" s="255"/>
      <c r="H18" s="255"/>
      <c r="I18" s="255"/>
      <c r="J18" s="255"/>
      <c r="K18" s="255"/>
      <c r="L18" s="255"/>
      <c r="M18" s="255"/>
      <c r="N18" s="255"/>
      <c r="O18" s="255"/>
      <c r="P18" s="254"/>
      <c r="Q18" s="254"/>
      <c r="R18" s="254"/>
      <c r="S18" s="254"/>
      <c r="T18" s="258" t="s">
        <v>18</v>
      </c>
      <c r="U18" s="254"/>
      <c r="V18" s="254"/>
      <c r="W18" s="254"/>
      <c r="X18" s="254"/>
      <c r="Y18" s="254"/>
      <c r="Z18" s="254"/>
      <c r="AA18" s="536">
        <f>AD12*AD14*AD16</f>
        <v>0</v>
      </c>
      <c r="AB18" s="537"/>
      <c r="AC18" s="537"/>
      <c r="AD18" s="537"/>
      <c r="AE18" s="537"/>
      <c r="AF18" s="538"/>
      <c r="AG18" s="255" t="s">
        <v>19</v>
      </c>
      <c r="AH18" s="255"/>
      <c r="AI18" s="255"/>
      <c r="AJ18" s="264"/>
      <c r="BU18" s="115" t="s">
        <v>9</v>
      </c>
      <c r="BX18" s="115">
        <v>20</v>
      </c>
    </row>
    <row r="19" spans="1:76" ht="19.5" hidden="1" customHeight="1">
      <c r="A19" s="254"/>
      <c r="B19" s="254"/>
      <c r="C19" s="255"/>
      <c r="D19" s="255"/>
      <c r="E19" s="255"/>
      <c r="F19" s="255"/>
      <c r="G19" s="255"/>
      <c r="H19" s="255"/>
      <c r="I19" s="255"/>
      <c r="J19" s="255"/>
      <c r="K19" s="255"/>
      <c r="L19" s="255"/>
      <c r="M19" s="255"/>
      <c r="N19" s="255"/>
      <c r="O19" s="255"/>
      <c r="P19" s="255"/>
      <c r="Q19" s="254"/>
      <c r="R19" s="254"/>
      <c r="S19" s="254"/>
      <c r="T19" s="254"/>
      <c r="U19" s="254"/>
      <c r="V19" s="254"/>
      <c r="W19" s="254"/>
      <c r="X19" s="254"/>
      <c r="Y19" s="254"/>
      <c r="Z19" s="254"/>
      <c r="AA19" s="265"/>
      <c r="AB19" s="265"/>
      <c r="AC19" s="265"/>
      <c r="AD19" s="265"/>
      <c r="AE19" s="265"/>
      <c r="AF19" s="265"/>
      <c r="AG19" s="255"/>
      <c r="AH19" s="255"/>
      <c r="AI19" s="255"/>
      <c r="AJ19" s="266"/>
      <c r="BX19" s="119">
        <v>21</v>
      </c>
    </row>
    <row r="20" spans="1:76" ht="19.5" hidden="1" customHeight="1">
      <c r="A20" s="254"/>
      <c r="B20" s="254"/>
      <c r="C20" s="255" t="s">
        <v>20</v>
      </c>
      <c r="D20" s="255"/>
      <c r="E20" s="255"/>
      <c r="F20" s="255"/>
      <c r="G20" s="255"/>
      <c r="H20" s="255"/>
      <c r="I20" s="255"/>
      <c r="J20" s="255"/>
      <c r="K20" s="255"/>
      <c r="L20" s="255"/>
      <c r="M20" s="255"/>
      <c r="N20" s="255"/>
      <c r="O20" s="255"/>
      <c r="P20" s="255"/>
      <c r="Q20" s="254"/>
      <c r="R20" s="254"/>
      <c r="S20" s="254"/>
      <c r="T20" s="254"/>
      <c r="U20" s="536"/>
      <c r="V20" s="537"/>
      <c r="W20" s="537"/>
      <c r="X20" s="537"/>
      <c r="Y20" s="537"/>
      <c r="Z20" s="538"/>
      <c r="AA20" s="255" t="s">
        <v>21</v>
      </c>
      <c r="AB20" s="254"/>
      <c r="AC20" s="254"/>
      <c r="AD20" s="254"/>
      <c r="AE20" s="254"/>
      <c r="AF20" s="254"/>
      <c r="AG20" s="254"/>
      <c r="AH20" s="255"/>
      <c r="AI20" s="255"/>
      <c r="AJ20" s="267"/>
      <c r="BX20" s="115">
        <v>22</v>
      </c>
    </row>
    <row r="21" spans="1:76" ht="19.5" hidden="1" customHeight="1">
      <c r="A21" s="254"/>
      <c r="B21" s="254"/>
      <c r="C21" s="268" t="s">
        <v>22</v>
      </c>
      <c r="D21" s="255"/>
      <c r="E21" s="255"/>
      <c r="F21" s="255"/>
      <c r="G21" s="255"/>
      <c r="H21" s="255"/>
      <c r="I21" s="255"/>
      <c r="J21" s="255"/>
      <c r="K21" s="255"/>
      <c r="L21" s="255"/>
      <c r="M21" s="255"/>
      <c r="N21" s="255"/>
      <c r="O21" s="255"/>
      <c r="P21" s="255"/>
      <c r="Q21" s="254"/>
      <c r="R21" s="254"/>
      <c r="S21" s="254"/>
      <c r="T21" s="254"/>
      <c r="U21" s="254"/>
      <c r="V21" s="254"/>
      <c r="W21" s="254"/>
      <c r="X21" s="254"/>
      <c r="Y21" s="254"/>
      <c r="Z21" s="254"/>
      <c r="AA21" s="561" t="e">
        <f>AD12*AD14/U20</f>
        <v>#DIV/0!</v>
      </c>
      <c r="AB21" s="562"/>
      <c r="AC21" s="562"/>
      <c r="AD21" s="562"/>
      <c r="AE21" s="562"/>
      <c r="AF21" s="563"/>
      <c r="AG21" s="255" t="s">
        <v>23</v>
      </c>
      <c r="AH21" s="255"/>
      <c r="AI21" s="255"/>
      <c r="AJ21" s="254"/>
      <c r="BX21" s="115">
        <v>24</v>
      </c>
    </row>
    <row r="22" spans="1:76" ht="4.5" customHeight="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BX22" s="119">
        <v>25</v>
      </c>
    </row>
    <row r="23" spans="1:76" s="119" customFormat="1" ht="16.5" customHeight="1">
      <c r="B23" s="500" t="s">
        <v>24</v>
      </c>
      <c r="C23" s="500"/>
      <c r="D23" s="500"/>
      <c r="E23" s="500"/>
      <c r="F23" s="500"/>
      <c r="G23" s="500"/>
      <c r="H23" s="500"/>
      <c r="I23" s="500"/>
      <c r="J23" s="500"/>
      <c r="K23" s="500"/>
      <c r="L23" s="500"/>
      <c r="M23" s="500"/>
      <c r="N23" s="500"/>
      <c r="O23" s="500"/>
      <c r="P23" s="500"/>
      <c r="Q23" s="500"/>
      <c r="R23" s="500"/>
      <c r="S23" s="500"/>
      <c r="T23" s="500"/>
      <c r="U23" s="500"/>
      <c r="V23" s="500"/>
      <c r="W23" s="500"/>
      <c r="X23" s="500"/>
      <c r="Y23" s="500"/>
      <c r="Z23" s="500"/>
      <c r="AA23" s="500"/>
      <c r="AB23" s="500"/>
      <c r="AC23" s="500"/>
      <c r="AD23" s="500"/>
      <c r="AE23" s="500"/>
      <c r="AF23" s="500"/>
      <c r="AG23" s="500"/>
      <c r="AH23" s="500"/>
      <c r="AI23" s="500"/>
      <c r="AJ23" s="500"/>
      <c r="BX23" s="115">
        <v>26</v>
      </c>
    </row>
    <row r="24" spans="1:76" ht="3" customHeight="1">
      <c r="BX24" s="119">
        <v>27</v>
      </c>
    </row>
    <row r="25" spans="1:76" ht="14.4">
      <c r="B25" s="302" t="s">
        <v>25</v>
      </c>
      <c r="C25" s="303"/>
      <c r="D25" s="303"/>
      <c r="E25" s="303"/>
      <c r="F25" s="303"/>
      <c r="G25" s="303"/>
      <c r="H25" s="303"/>
      <c r="I25" s="303"/>
      <c r="J25" s="304"/>
      <c r="K25" s="551" t="s">
        <v>26</v>
      </c>
      <c r="L25" s="552"/>
      <c r="M25" s="553"/>
      <c r="O25" s="302" t="s">
        <v>27</v>
      </c>
      <c r="P25" s="303"/>
      <c r="Q25" s="303"/>
      <c r="R25" s="303"/>
      <c r="S25" s="303"/>
      <c r="T25" s="303"/>
      <c r="U25" s="303"/>
      <c r="V25" s="303"/>
      <c r="W25" s="303"/>
      <c r="X25" s="551" t="s">
        <v>26</v>
      </c>
      <c r="Y25" s="552"/>
      <c r="Z25" s="553"/>
      <c r="AB25" s="302" t="s">
        <v>35</v>
      </c>
      <c r="AC25" s="303"/>
      <c r="AD25" s="303"/>
      <c r="AE25" s="303"/>
      <c r="AF25" s="303"/>
      <c r="AG25" s="303"/>
      <c r="AH25" s="303"/>
      <c r="AI25" s="551" t="s">
        <v>26</v>
      </c>
      <c r="AJ25" s="553"/>
      <c r="BX25" s="115">
        <v>28</v>
      </c>
    </row>
    <row r="26" spans="1:76" ht="14.4">
      <c r="B26" s="6" t="s">
        <v>28</v>
      </c>
      <c r="C26" s="7"/>
      <c r="D26" s="7"/>
      <c r="E26" s="125"/>
      <c r="F26" s="125"/>
      <c r="G26" s="125"/>
      <c r="H26" s="125"/>
      <c r="I26" s="125"/>
      <c r="J26" s="126"/>
      <c r="K26" s="569"/>
      <c r="L26" s="559"/>
      <c r="M26" s="560"/>
      <c r="O26" s="98" t="s">
        <v>29</v>
      </c>
      <c r="P26" s="99"/>
      <c r="Q26" s="99"/>
      <c r="R26" s="99"/>
      <c r="S26" s="99"/>
      <c r="T26" s="99"/>
      <c r="U26" s="99"/>
      <c r="V26" s="99"/>
      <c r="W26" s="99"/>
      <c r="X26" s="558"/>
      <c r="Y26" s="559"/>
      <c r="Z26" s="560"/>
      <c r="AB26" s="106" t="s">
        <v>149</v>
      </c>
      <c r="AC26" s="99"/>
      <c r="AD26" s="99"/>
      <c r="AE26" s="99"/>
      <c r="AF26" s="99"/>
      <c r="AG26" s="99"/>
      <c r="AH26" s="99"/>
      <c r="AI26" s="558"/>
      <c r="AJ26" s="560"/>
      <c r="BX26" s="119">
        <v>29</v>
      </c>
    </row>
    <row r="27" spans="1:76" ht="14.4">
      <c r="B27" s="105" t="s">
        <v>147</v>
      </c>
      <c r="C27" s="9"/>
      <c r="D27" s="9"/>
      <c r="E27" s="127"/>
      <c r="F27" s="127"/>
      <c r="G27" s="127"/>
      <c r="H27" s="127"/>
      <c r="I27" s="127"/>
      <c r="J27" s="128"/>
      <c r="K27" s="565"/>
      <c r="L27" s="505"/>
      <c r="M27" s="506"/>
      <c r="O27" s="102" t="s">
        <v>30</v>
      </c>
      <c r="P27" s="103"/>
      <c r="Q27" s="103"/>
      <c r="R27" s="103"/>
      <c r="S27" s="103"/>
      <c r="T27" s="103"/>
      <c r="U27" s="103"/>
      <c r="V27" s="103"/>
      <c r="W27" s="103"/>
      <c r="X27" s="504"/>
      <c r="Y27" s="505"/>
      <c r="Z27" s="506"/>
      <c r="AB27" s="201" t="s">
        <v>150</v>
      </c>
      <c r="AC27" s="103"/>
      <c r="AD27" s="103"/>
      <c r="AE27" s="103"/>
      <c r="AF27" s="103"/>
      <c r="AG27" s="103"/>
      <c r="AH27" s="103"/>
      <c r="AI27" s="504"/>
      <c r="AJ27" s="506"/>
      <c r="BX27" s="115">
        <v>30</v>
      </c>
    </row>
    <row r="28" spans="1:76" ht="14.4">
      <c r="B28" s="105" t="s">
        <v>148</v>
      </c>
      <c r="C28" s="9"/>
      <c r="D28" s="9"/>
      <c r="E28" s="127"/>
      <c r="F28" s="127"/>
      <c r="G28" s="127"/>
      <c r="H28" s="127"/>
      <c r="I28" s="127"/>
      <c r="J28" s="128"/>
      <c r="K28" s="565"/>
      <c r="L28" s="505"/>
      <c r="M28" s="506"/>
      <c r="O28" s="102" t="s">
        <v>31</v>
      </c>
      <c r="P28" s="103"/>
      <c r="Q28" s="103"/>
      <c r="R28" s="103"/>
      <c r="S28" s="103"/>
      <c r="T28" s="103"/>
      <c r="U28" s="103"/>
      <c r="V28" s="103"/>
      <c r="W28" s="103"/>
      <c r="X28" s="504"/>
      <c r="Y28" s="505"/>
      <c r="Z28" s="506"/>
      <c r="AB28" s="202" t="s">
        <v>223</v>
      </c>
      <c r="AC28" s="103"/>
      <c r="AD28" s="103"/>
      <c r="AE28" s="103"/>
      <c r="AF28" s="103"/>
      <c r="AG28" s="103"/>
      <c r="AH28" s="103"/>
      <c r="AI28" s="504"/>
      <c r="AJ28" s="506"/>
      <c r="BX28" s="119">
        <v>31</v>
      </c>
    </row>
    <row r="29" spans="1:76" ht="14.4">
      <c r="B29" s="8" t="s">
        <v>32</v>
      </c>
      <c r="C29" s="9"/>
      <c r="D29" s="9"/>
      <c r="E29" s="127"/>
      <c r="F29" s="127"/>
      <c r="G29" s="127"/>
      <c r="H29" s="127"/>
      <c r="I29" s="127"/>
      <c r="J29" s="128"/>
      <c r="K29" s="565"/>
      <c r="L29" s="505"/>
      <c r="M29" s="506"/>
      <c r="O29" s="100" t="s">
        <v>33</v>
      </c>
      <c r="P29" s="101"/>
      <c r="Q29" s="101"/>
      <c r="R29" s="101"/>
      <c r="S29" s="101"/>
      <c r="T29" s="101"/>
      <c r="U29" s="101"/>
      <c r="V29" s="101"/>
      <c r="W29" s="101"/>
      <c r="X29" s="544"/>
      <c r="Y29" s="545"/>
      <c r="Z29" s="546"/>
      <c r="AB29" s="202" t="s">
        <v>224</v>
      </c>
      <c r="AC29" s="103"/>
      <c r="AD29" s="103"/>
      <c r="AE29" s="103"/>
      <c r="AF29" s="103"/>
      <c r="AG29" s="103"/>
      <c r="AH29" s="103"/>
      <c r="AI29" s="504"/>
      <c r="AJ29" s="506"/>
      <c r="BX29" s="115">
        <v>32</v>
      </c>
    </row>
    <row r="30" spans="1:76" ht="14.4">
      <c r="B30" s="107" t="s">
        <v>34</v>
      </c>
      <c r="C30" s="108"/>
      <c r="D30" s="108"/>
      <c r="E30" s="129"/>
      <c r="F30" s="129"/>
      <c r="G30" s="129"/>
      <c r="H30" s="129"/>
      <c r="I30" s="129"/>
      <c r="J30" s="130"/>
      <c r="K30" s="566"/>
      <c r="L30" s="545"/>
      <c r="M30" s="546"/>
      <c r="O30" s="302" t="s">
        <v>36</v>
      </c>
      <c r="P30" s="303"/>
      <c r="Q30" s="303"/>
      <c r="R30" s="303"/>
      <c r="S30" s="303"/>
      <c r="T30" s="303"/>
      <c r="U30" s="303"/>
      <c r="V30" s="303"/>
      <c r="W30" s="303"/>
      <c r="X30" s="551" t="s">
        <v>26</v>
      </c>
      <c r="Y30" s="552"/>
      <c r="Z30" s="553"/>
      <c r="AB30" s="202" t="s">
        <v>225</v>
      </c>
      <c r="AC30" s="103"/>
      <c r="AD30" s="103"/>
      <c r="AE30" s="103"/>
      <c r="AF30" s="103"/>
      <c r="AG30" s="103"/>
      <c r="AH30" s="103"/>
      <c r="AI30" s="504"/>
      <c r="AJ30" s="506"/>
      <c r="BX30" s="119">
        <v>33</v>
      </c>
    </row>
    <row r="31" spans="1:76" ht="16.5" customHeight="1">
      <c r="O31" s="198" t="s">
        <v>37</v>
      </c>
      <c r="P31" s="199"/>
      <c r="Q31" s="199"/>
      <c r="R31" s="199"/>
      <c r="S31" s="199"/>
      <c r="T31" s="199"/>
      <c r="U31" s="199"/>
      <c r="V31" s="200"/>
      <c r="W31" s="200"/>
      <c r="X31" s="548"/>
      <c r="Y31" s="549"/>
      <c r="Z31" s="550"/>
      <c r="AB31" s="204" t="s">
        <v>90</v>
      </c>
      <c r="AC31" s="101"/>
      <c r="AD31" s="101"/>
      <c r="AE31" s="101"/>
      <c r="AF31" s="101"/>
      <c r="AG31" s="101"/>
      <c r="AH31" s="101"/>
      <c r="AI31" s="544"/>
      <c r="AJ31" s="546"/>
      <c r="BX31" s="115">
        <v>36</v>
      </c>
    </row>
    <row r="32" spans="1:76" ht="3.75" customHeight="1">
      <c r="O32" s="195"/>
      <c r="P32" s="195"/>
      <c r="Q32" s="195"/>
      <c r="R32" s="195"/>
      <c r="S32" s="195"/>
      <c r="T32" s="195"/>
      <c r="U32" s="195"/>
      <c r="X32" s="196"/>
      <c r="Y32" s="197"/>
      <c r="Z32" s="197"/>
    </row>
    <row r="33" spans="2:76" ht="14.4">
      <c r="B33" s="302" t="s">
        <v>38</v>
      </c>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4"/>
      <c r="AH33" s="568">
        <f>SUM(K26:M30)+X26+X27+X28+X29+AI26+AI27+X31+AI28+AI29+AI30+AI31</f>
        <v>0</v>
      </c>
      <c r="AI33" s="552"/>
      <c r="AJ33" s="553"/>
      <c r="BX33" s="119">
        <v>37</v>
      </c>
    </row>
    <row r="34" spans="2:76" ht="2.25" customHeight="1">
      <c r="AX34" s="131">
        <f>+SUM(M55:M59)</f>
        <v>0</v>
      </c>
      <c r="BX34" s="115">
        <v>38</v>
      </c>
    </row>
    <row r="35" spans="2:76" s="119" customFormat="1" ht="14.4">
      <c r="B35" s="500" t="s">
        <v>164</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BX35" s="119">
        <v>39</v>
      </c>
    </row>
    <row r="36" spans="2:76" ht="3.75" customHeight="1">
      <c r="BX36" s="115">
        <v>40</v>
      </c>
    </row>
    <row r="37" spans="2:76" ht="14.4">
      <c r="E37" s="10"/>
      <c r="F37" s="10"/>
      <c r="G37" s="10"/>
      <c r="H37" s="10"/>
      <c r="I37" s="122" t="s">
        <v>39</v>
      </c>
      <c r="J37" s="512">
        <f>AD12*AD14</f>
        <v>0</v>
      </c>
      <c r="K37" s="515"/>
      <c r="L37" s="515"/>
      <c r="M37" s="11" t="s">
        <v>0</v>
      </c>
      <c r="Q37" s="10"/>
      <c r="R37" s="10"/>
      <c r="T37" s="122" t="s">
        <v>40</v>
      </c>
      <c r="U37" s="512">
        <f>(AD12+AD14)*AD16*2</f>
        <v>0</v>
      </c>
      <c r="V37" s="515"/>
      <c r="W37" s="515"/>
      <c r="X37" s="11" t="s">
        <v>0</v>
      </c>
      <c r="Y37" s="11"/>
      <c r="AF37" s="122" t="s">
        <v>41</v>
      </c>
      <c r="AG37" s="512">
        <f>AD12*AD14</f>
        <v>0</v>
      </c>
      <c r="AH37" s="513"/>
      <c r="AI37" s="11" t="s">
        <v>0</v>
      </c>
      <c r="BX37" s="119">
        <v>41</v>
      </c>
    </row>
    <row r="38" spans="2:76" ht="3" customHeight="1">
      <c r="C38" s="114"/>
      <c r="AN38" s="132"/>
      <c r="AO38" s="133"/>
      <c r="AP38" s="132"/>
      <c r="AQ38" s="132"/>
      <c r="AR38" s="132"/>
      <c r="AS38" s="132"/>
      <c r="AT38" s="131"/>
      <c r="AU38" s="131"/>
      <c r="AV38" s="131"/>
      <c r="AW38" s="131"/>
      <c r="AX38" s="131"/>
      <c r="AY38" s="132"/>
      <c r="BI38" s="119"/>
      <c r="BJ38" s="119"/>
      <c r="BK38" s="119"/>
      <c r="BL38" s="119"/>
      <c r="BM38" s="119"/>
      <c r="BN38" s="119"/>
      <c r="BO38" s="119"/>
      <c r="BP38" s="119"/>
      <c r="BQ38" s="119"/>
      <c r="BR38" s="119"/>
      <c r="BS38" s="119"/>
      <c r="BT38" s="119"/>
      <c r="BX38" s="119">
        <v>42</v>
      </c>
    </row>
    <row r="39" spans="2:76" ht="15.6">
      <c r="D39" s="10"/>
      <c r="E39" s="10"/>
      <c r="F39" s="10"/>
      <c r="G39" s="10"/>
      <c r="H39" s="10"/>
      <c r="I39" s="12" t="s">
        <v>42</v>
      </c>
      <c r="J39" s="514">
        <f>SUM(X26:Z29)</f>
        <v>0</v>
      </c>
      <c r="K39" s="515"/>
      <c r="L39" s="515"/>
      <c r="M39" s="11" t="s">
        <v>0</v>
      </c>
      <c r="P39" s="10"/>
      <c r="Q39" s="10"/>
      <c r="R39" s="10"/>
      <c r="T39" s="12" t="s">
        <v>43</v>
      </c>
      <c r="U39" s="512">
        <f>SUM(K26:M30)+X31</f>
        <v>0</v>
      </c>
      <c r="V39" s="515"/>
      <c r="W39" s="515"/>
      <c r="X39" s="11" t="s">
        <v>0</v>
      </c>
      <c r="Y39" s="11"/>
      <c r="AF39" s="12" t="s">
        <v>44</v>
      </c>
      <c r="AG39" s="514">
        <f>SUM(AI26:AJ31)</f>
        <v>0</v>
      </c>
      <c r="AH39" s="564"/>
      <c r="AI39" s="11" t="s">
        <v>0</v>
      </c>
      <c r="AL39" s="134"/>
      <c r="AM39" s="135"/>
      <c r="BX39" s="119">
        <v>43</v>
      </c>
    </row>
    <row r="40" spans="2:76" ht="3" customHeight="1">
      <c r="C40" s="114"/>
      <c r="AN40" s="132"/>
      <c r="AO40" s="133"/>
      <c r="AP40" s="132"/>
      <c r="AQ40" s="132"/>
      <c r="AR40" s="132"/>
      <c r="AS40" s="132"/>
      <c r="AT40" s="131"/>
      <c r="AU40" s="131"/>
      <c r="AV40" s="131"/>
      <c r="AW40" s="131"/>
      <c r="AX40" s="131"/>
      <c r="AY40" s="132"/>
      <c r="BI40" s="119"/>
      <c r="BJ40" s="119"/>
      <c r="BK40" s="119"/>
      <c r="BL40" s="119"/>
      <c r="BM40" s="119"/>
      <c r="BN40" s="119"/>
      <c r="BO40" s="119"/>
      <c r="BP40" s="119"/>
      <c r="BQ40" s="119"/>
      <c r="BR40" s="119"/>
      <c r="BS40" s="119"/>
      <c r="BT40" s="119"/>
      <c r="BX40" s="119">
        <v>44</v>
      </c>
    </row>
    <row r="41" spans="2:76" ht="14.4">
      <c r="C41" s="547" t="str">
        <f>IF(SUM(X26:Z29)&lt;ROUNDUP(AD12*AD14,1)*0.95,"NON CONFORME",IF(SUM(X26:Z29)&gt;ROUNDUP(AD12*AD14,1)*1.05,"NON CONFORME","CONFORME"))</f>
        <v>CONFORME</v>
      </c>
      <c r="D41" s="541"/>
      <c r="E41" s="541"/>
      <c r="F41" s="541"/>
      <c r="G41" s="541"/>
      <c r="H41" s="541"/>
      <c r="I41" s="541"/>
      <c r="J41" s="541"/>
      <c r="K41" s="541"/>
      <c r="L41" s="541"/>
      <c r="M41" s="541"/>
      <c r="N41" s="540" t="str">
        <f>IF((SUM(K26:M30)+X31)&lt;ROUNDUP((AD12+AD14)*AD16*2,1)*0.95,"NON CONFORME",IF((SUM(K26:M30)+X31)&gt;ROUNDUP((AD12+AD14)*AD16*2,1)*1.05,"NON CONFORME","CONFORME"))</f>
        <v>CONFORME</v>
      </c>
      <c r="O41" s="541"/>
      <c r="P41" s="541"/>
      <c r="Q41" s="541"/>
      <c r="R41" s="541"/>
      <c r="S41" s="541"/>
      <c r="T41" s="541"/>
      <c r="U41" s="541"/>
      <c r="V41" s="541"/>
      <c r="W41" s="541"/>
      <c r="X41" s="541"/>
      <c r="Y41" s="542"/>
      <c r="Z41" s="541" t="str">
        <f>IF(SUM(AI26:AJ31)&lt;ROUNDUP(AD12*AD14,1)*0.95,"NON CONFORME",IF(SUM(AI26:AJ27)&gt;ROUNDUP(AD12*AD14,1)*1.05,"NON CONFORME","CONFORME"))</f>
        <v>CONFORME</v>
      </c>
      <c r="AA41" s="541"/>
      <c r="AB41" s="541"/>
      <c r="AC41" s="541"/>
      <c r="AD41" s="541"/>
      <c r="AE41" s="541"/>
      <c r="AF41" s="541"/>
      <c r="AG41" s="541"/>
      <c r="AH41" s="541"/>
      <c r="AI41" s="543"/>
      <c r="BX41" s="119">
        <v>45</v>
      </c>
    </row>
    <row r="42" spans="2:76" ht="3.75" customHeight="1">
      <c r="C42" s="114"/>
      <c r="AN42" s="132"/>
      <c r="AO42" s="133"/>
      <c r="AP42" s="132"/>
      <c r="AQ42" s="132"/>
      <c r="AR42" s="132"/>
      <c r="AS42" s="132"/>
      <c r="AT42" s="131"/>
      <c r="AU42" s="131"/>
      <c r="AV42" s="131"/>
      <c r="AW42" s="131"/>
      <c r="AX42" s="131"/>
      <c r="AY42" s="132"/>
      <c r="BI42" s="119"/>
      <c r="BJ42" s="119"/>
      <c r="BK42" s="119"/>
      <c r="BL42" s="119"/>
      <c r="BM42" s="119"/>
      <c r="BN42" s="119"/>
      <c r="BO42" s="119"/>
      <c r="BP42" s="119"/>
      <c r="BQ42" s="119"/>
      <c r="BR42" s="119"/>
      <c r="BS42" s="119"/>
      <c r="BT42" s="119"/>
      <c r="BX42" s="119">
        <v>46</v>
      </c>
    </row>
    <row r="43" spans="2:76" s="119" customFormat="1" ht="16.5" customHeight="1">
      <c r="B43" s="500" t="s">
        <v>45</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c r="AE43" s="500"/>
      <c r="AF43" s="500"/>
      <c r="AG43" s="500"/>
      <c r="AH43" s="500"/>
      <c r="AI43" s="500"/>
      <c r="AJ43" s="500"/>
      <c r="AN43" s="136"/>
      <c r="AO43" s="136"/>
      <c r="AP43" s="136"/>
      <c r="AQ43" s="136"/>
      <c r="AR43" s="136"/>
      <c r="AS43" s="136"/>
      <c r="AT43" s="137"/>
      <c r="AU43" s="137"/>
      <c r="AV43" s="137"/>
      <c r="AW43" s="137"/>
      <c r="AX43" s="136"/>
      <c r="AY43" s="136"/>
      <c r="BX43" s="119">
        <v>47</v>
      </c>
    </row>
    <row r="44" spans="2:76" ht="3" customHeight="1">
      <c r="C44" s="114"/>
      <c r="AN44" s="132"/>
      <c r="AO44" s="133"/>
      <c r="AP44" s="132"/>
      <c r="AQ44" s="132"/>
      <c r="AR44" s="132"/>
      <c r="AS44" s="132"/>
      <c r="AT44" s="131"/>
      <c r="AU44" s="131"/>
      <c r="AV44" s="131"/>
      <c r="AW44" s="131"/>
      <c r="AX44" s="131"/>
      <c r="AY44" s="132"/>
      <c r="BI44" s="119"/>
      <c r="BJ44" s="119"/>
      <c r="BK44" s="119"/>
      <c r="BL44" s="119"/>
      <c r="BM44" s="119"/>
      <c r="BN44" s="119"/>
      <c r="BO44" s="119"/>
      <c r="BP44" s="119"/>
      <c r="BQ44" s="119"/>
      <c r="BR44" s="119"/>
      <c r="BS44" s="119"/>
      <c r="BT44" s="119"/>
      <c r="BX44" s="119">
        <v>48</v>
      </c>
    </row>
    <row r="45" spans="2:76" s="13" customFormat="1" ht="15.75" customHeight="1">
      <c r="B45" s="344"/>
      <c r="C45" s="349" t="s">
        <v>192</v>
      </c>
      <c r="D45" s="350"/>
      <c r="E45" s="351"/>
      <c r="F45" s="351"/>
      <c r="G45" s="351"/>
      <c r="H45" s="351"/>
      <c r="I45" s="351"/>
      <c r="J45" s="351"/>
      <c r="K45" s="351"/>
      <c r="L45" s="351"/>
      <c r="M45" s="351"/>
      <c r="N45" s="351"/>
      <c r="O45" s="351"/>
      <c r="P45" s="352" t="s">
        <v>46</v>
      </c>
      <c r="Q45" s="351"/>
      <c r="R45" s="351"/>
      <c r="S45" s="351"/>
      <c r="T45" s="351"/>
      <c r="U45" s="351"/>
      <c r="V45" s="351"/>
      <c r="W45" s="351"/>
      <c r="X45" s="351"/>
      <c r="Y45" s="351"/>
      <c r="Z45" s="351"/>
      <c r="AA45" s="351"/>
      <c r="AB45" s="351"/>
      <c r="AC45" s="351"/>
      <c r="AD45" s="351"/>
      <c r="AE45" s="351"/>
      <c r="AF45" s="351"/>
      <c r="AG45" s="509" t="e">
        <f>AVERAGE(Q78:W78)</f>
        <v>#DIV/0!</v>
      </c>
      <c r="AH45" s="509"/>
      <c r="AI45" s="509"/>
      <c r="AJ45" s="344"/>
      <c r="AN45" s="83"/>
      <c r="AO45" s="83"/>
      <c r="AP45" s="83"/>
      <c r="AQ45" s="83"/>
      <c r="AR45" s="83"/>
      <c r="AS45" s="83"/>
      <c r="AT45" s="84"/>
      <c r="AU45" s="84"/>
      <c r="AV45" s="84"/>
      <c r="AW45" s="84"/>
      <c r="AX45" s="84"/>
      <c r="AY45" s="83"/>
      <c r="BX45" s="119">
        <v>49</v>
      </c>
    </row>
    <row r="46" spans="2:76" s="13" customFormat="1" ht="14.4">
      <c r="C46" s="14" t="s">
        <v>47</v>
      </c>
      <c r="D46" s="15"/>
      <c r="E46" s="15"/>
      <c r="F46" s="15"/>
      <c r="G46" s="15"/>
      <c r="H46" s="15"/>
      <c r="I46" s="15"/>
      <c r="J46" s="15"/>
      <c r="K46" s="15"/>
      <c r="L46" s="15"/>
      <c r="M46" s="15"/>
      <c r="N46" s="15"/>
      <c r="O46" s="15"/>
      <c r="P46" s="15"/>
      <c r="Q46" s="15"/>
      <c r="R46" s="15"/>
      <c r="S46" s="15"/>
      <c r="T46" s="15"/>
      <c r="U46" s="15"/>
      <c r="V46" s="15"/>
      <c r="W46" s="15"/>
      <c r="X46" s="15"/>
      <c r="AA46" s="16" t="s">
        <v>48</v>
      </c>
      <c r="AG46" s="539" t="str">
        <f>IF(I12="Salle de réunion / formation",0.8,)&amp;IF(I12="Bureau individuel",0.7,)&amp;IF(I12="Bureaux collectifs",0.6,)&amp;IF(I12="Espace ouvert",IF(AA18&lt;250,0.8,1),)&amp;IF(I12="Restaurant / cafétéria",IF(AA18&lt;250,0.6,1),)</f>
        <v/>
      </c>
      <c r="AH46" s="539"/>
      <c r="AI46" s="539"/>
      <c r="AN46" s="83"/>
      <c r="AO46" s="83"/>
      <c r="AP46" s="83"/>
      <c r="AQ46" s="83"/>
      <c r="AR46" s="83"/>
      <c r="AS46" s="83"/>
      <c r="AT46" s="84"/>
      <c r="AU46" s="84"/>
      <c r="AW46" s="84"/>
      <c r="AX46" s="84"/>
      <c r="AY46" s="83"/>
      <c r="BX46" s="115">
        <v>50</v>
      </c>
    </row>
    <row r="47" spans="2:76" s="13" customFormat="1" ht="14.4">
      <c r="C47" s="14" t="s">
        <v>47</v>
      </c>
      <c r="D47" s="15"/>
      <c r="E47" s="15"/>
      <c r="F47" s="15"/>
      <c r="G47" s="15"/>
      <c r="H47" s="15"/>
      <c r="I47" s="15"/>
      <c r="J47" s="15"/>
      <c r="K47" s="15"/>
      <c r="L47" s="15"/>
      <c r="M47" s="15"/>
      <c r="N47" s="15"/>
      <c r="O47" s="15"/>
      <c r="P47" s="15"/>
      <c r="Q47" s="15"/>
      <c r="R47" s="15"/>
      <c r="S47" s="15"/>
      <c r="T47" s="15"/>
      <c r="U47" s="15"/>
      <c r="V47" s="15"/>
      <c r="W47" s="15"/>
      <c r="X47" s="15"/>
      <c r="AA47" s="17" t="s">
        <v>409</v>
      </c>
      <c r="AG47" s="554" t="str">
        <f>IF(I12="Salle de réunion / formation",0.6,)&amp;IF(I12="Bureau individuel",0.6,)&amp;IF(I12="Bureaux collectifs",0.5,)&amp;IF(I12="Espace ouvert",IF(AA18&lt;250,0.6,0.8),)&amp;IF(I12="Restaurant / cafétéria",IF(AA18&lt;250,0.5,0.8),)</f>
        <v/>
      </c>
      <c r="AH47" s="554"/>
      <c r="AI47" s="554"/>
      <c r="AN47" s="83"/>
      <c r="AO47" s="83"/>
      <c r="AP47" s="83"/>
      <c r="AQ47" s="83"/>
      <c r="AR47" s="83"/>
      <c r="AS47" s="83"/>
      <c r="AT47" s="84"/>
      <c r="AU47" s="84"/>
      <c r="AV47" s="84"/>
      <c r="AW47" s="84"/>
      <c r="AX47" s="84"/>
      <c r="AY47" s="83"/>
      <c r="BX47" s="119">
        <v>51</v>
      </c>
    </row>
    <row r="48" spans="2:76" s="119" customFormat="1" ht="31.5" customHeight="1">
      <c r="B48" s="555" t="s">
        <v>397</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N48" s="136"/>
      <c r="AO48" s="136"/>
      <c r="AP48" s="136"/>
      <c r="AQ48" s="136"/>
      <c r="AR48" s="136"/>
      <c r="AS48" s="136"/>
      <c r="AT48" s="137"/>
      <c r="AU48" s="131" t="s">
        <v>116</v>
      </c>
      <c r="AV48" s="137"/>
      <c r="AW48" s="137"/>
      <c r="AX48" s="137"/>
      <c r="AY48" s="136"/>
      <c r="BX48" s="119">
        <v>53</v>
      </c>
    </row>
    <row r="49" spans="2:76" ht="6" customHeight="1">
      <c r="C49" s="114"/>
      <c r="AN49" s="132"/>
      <c r="AO49" s="136"/>
      <c r="AP49" s="136"/>
      <c r="AQ49" s="132"/>
      <c r="AR49" s="132"/>
      <c r="AS49" s="132"/>
      <c r="AT49" s="131"/>
      <c r="AU49" s="131"/>
      <c r="AV49" s="131"/>
      <c r="AW49" s="131"/>
      <c r="AX49" s="131"/>
      <c r="AY49" s="132"/>
      <c r="BI49" s="119"/>
      <c r="BJ49" s="119"/>
      <c r="BK49" s="119"/>
      <c r="BL49" s="119"/>
      <c r="BM49" s="119"/>
      <c r="BN49" s="119"/>
      <c r="BO49" s="119"/>
      <c r="BP49" s="119"/>
      <c r="BQ49" s="119"/>
      <c r="BR49" s="119"/>
      <c r="BS49" s="119"/>
      <c r="BT49" s="119"/>
      <c r="BX49" s="119"/>
    </row>
    <row r="50" spans="2:76" ht="16.5" customHeight="1">
      <c r="B50" s="305" t="s">
        <v>255</v>
      </c>
      <c r="C50" s="306"/>
      <c r="D50" s="306"/>
      <c r="E50" s="306"/>
      <c r="F50" s="306"/>
      <c r="G50" s="307"/>
      <c r="I50" s="305" t="s">
        <v>253</v>
      </c>
      <c r="J50" s="306"/>
      <c r="K50" s="306"/>
      <c r="L50" s="306"/>
      <c r="M50" s="311"/>
      <c r="N50" s="305" t="s">
        <v>248</v>
      </c>
      <c r="O50" s="306"/>
      <c r="P50" s="306"/>
      <c r="Q50" s="307" t="s">
        <v>259</v>
      </c>
      <c r="R50" s="392" t="s">
        <v>168</v>
      </c>
      <c r="S50" s="306"/>
      <c r="T50" s="306"/>
      <c r="U50" s="306">
        <v>1</v>
      </c>
      <c r="V50" s="306">
        <v>2</v>
      </c>
      <c r="W50" s="311"/>
      <c r="X50" s="311"/>
      <c r="Y50" s="311"/>
      <c r="Z50" s="306">
        <v>1</v>
      </c>
      <c r="AA50" s="307">
        <v>2</v>
      </c>
      <c r="AC50" s="305" t="s">
        <v>256</v>
      </c>
      <c r="AD50" s="306"/>
      <c r="AE50" s="306"/>
      <c r="AF50" s="306"/>
      <c r="AG50" s="306"/>
      <c r="AH50" s="306"/>
      <c r="AI50" s="307"/>
      <c r="AK50" s="138"/>
      <c r="AL50" s="138"/>
      <c r="AM50" s="138"/>
      <c r="AN50" s="138"/>
      <c r="AO50" s="556"/>
      <c r="AP50" s="534"/>
      <c r="AQ50" s="534"/>
      <c r="AR50" s="534"/>
      <c r="AS50" s="132"/>
      <c r="AT50" s="131"/>
      <c r="AU50" s="131"/>
      <c r="AV50" s="131"/>
      <c r="AW50" s="131"/>
      <c r="AX50" s="131"/>
      <c r="AY50" s="132"/>
      <c r="BI50" s="119"/>
      <c r="BJ50" s="119"/>
      <c r="BK50" s="119"/>
      <c r="BL50" s="119"/>
      <c r="BM50" s="119"/>
      <c r="BN50" s="119"/>
      <c r="BO50" s="119"/>
      <c r="BP50" s="119"/>
      <c r="BQ50" s="119"/>
      <c r="BR50" s="119"/>
      <c r="BS50" s="119"/>
      <c r="BT50" s="119"/>
      <c r="BX50" s="119">
        <v>54</v>
      </c>
    </row>
    <row r="51" spans="2:76" ht="12.75" customHeight="1">
      <c r="B51" s="308"/>
      <c r="C51" s="309"/>
      <c r="D51" s="309"/>
      <c r="E51" s="308" t="s">
        <v>166</v>
      </c>
      <c r="F51" s="309"/>
      <c r="G51" s="310" t="s">
        <v>167</v>
      </c>
      <c r="I51" s="312" t="s">
        <v>168</v>
      </c>
      <c r="J51" s="313"/>
      <c r="K51" s="313"/>
      <c r="L51" s="314">
        <v>1</v>
      </c>
      <c r="M51" s="314">
        <v>2</v>
      </c>
      <c r="N51" s="212" t="s">
        <v>170</v>
      </c>
      <c r="O51" s="116"/>
      <c r="P51" s="116"/>
      <c r="Q51" s="356"/>
      <c r="R51" s="319" t="s">
        <v>254</v>
      </c>
      <c r="S51" s="309"/>
      <c r="T51" s="309"/>
      <c r="U51" s="309"/>
      <c r="V51" s="309"/>
      <c r="W51" s="309"/>
      <c r="X51" s="309"/>
      <c r="Y51" s="309"/>
      <c r="Z51" s="309"/>
      <c r="AA51" s="315"/>
      <c r="AC51" s="212" t="s">
        <v>235</v>
      </c>
      <c r="AD51" s="116"/>
      <c r="AE51" s="116"/>
      <c r="AF51" s="356"/>
      <c r="AG51" s="212" t="s">
        <v>241</v>
      </c>
      <c r="AH51" s="116"/>
      <c r="AI51" s="356"/>
      <c r="AK51" s="138"/>
      <c r="AL51" s="138"/>
      <c r="AM51" s="138"/>
      <c r="AN51" s="138"/>
      <c r="AO51" s="557"/>
      <c r="AP51" s="535"/>
      <c r="AQ51" s="535"/>
      <c r="AR51" s="535"/>
      <c r="AS51" s="132"/>
      <c r="AT51" s="131"/>
      <c r="AU51" s="131"/>
      <c r="AV51" s="131"/>
      <c r="AW51" s="131"/>
      <c r="AX51" s="131"/>
      <c r="AY51" s="132"/>
      <c r="BI51" s="119"/>
      <c r="BJ51" s="119"/>
      <c r="BK51" s="119"/>
      <c r="BL51" s="119"/>
      <c r="BM51" s="119"/>
      <c r="BN51" s="119"/>
      <c r="BO51" s="119"/>
      <c r="BP51" s="119"/>
      <c r="BQ51" s="119"/>
      <c r="BR51" s="119"/>
      <c r="BS51" s="119"/>
      <c r="BT51" s="119"/>
      <c r="BX51" s="119"/>
    </row>
    <row r="52" spans="2:76" ht="16.5" customHeight="1">
      <c r="B52" s="212"/>
      <c r="C52" s="116"/>
      <c r="D52" s="116"/>
      <c r="E52" s="116"/>
      <c r="F52" s="116"/>
      <c r="G52" s="116"/>
      <c r="I52" s="212" t="s">
        <v>151</v>
      </c>
      <c r="J52" s="116"/>
      <c r="K52" s="116"/>
      <c r="L52" s="355"/>
      <c r="M52" s="355"/>
      <c r="N52" s="212" t="s">
        <v>171</v>
      </c>
      <c r="O52" s="116"/>
      <c r="P52" s="116"/>
      <c r="Q52" s="356"/>
      <c r="R52" s="212" t="s">
        <v>175</v>
      </c>
      <c r="S52" s="116"/>
      <c r="T52" s="116"/>
      <c r="U52" s="355"/>
      <c r="V52" s="355"/>
      <c r="W52" s="212" t="s">
        <v>179</v>
      </c>
      <c r="X52" s="116"/>
      <c r="Y52" s="116"/>
      <c r="Z52" s="355"/>
      <c r="AA52" s="356"/>
      <c r="AC52" s="212" t="s">
        <v>236</v>
      </c>
      <c r="AD52" s="116"/>
      <c r="AE52" s="116"/>
      <c r="AF52" s="356"/>
      <c r="AG52" s="212" t="s">
        <v>242</v>
      </c>
      <c r="AH52" s="116"/>
      <c r="AI52" s="356"/>
      <c r="AK52" s="138"/>
      <c r="AL52" s="138"/>
      <c r="AM52" s="138"/>
      <c r="AN52" s="138"/>
      <c r="AO52" s="206"/>
      <c r="AP52" s="206"/>
      <c r="AQ52" s="207"/>
      <c r="AR52" s="207"/>
      <c r="AS52" s="132"/>
      <c r="AT52" s="131"/>
      <c r="AU52" s="131"/>
      <c r="AV52" s="140" t="s">
        <v>114</v>
      </c>
      <c r="AW52" s="141" t="s">
        <v>115</v>
      </c>
      <c r="AX52" s="131"/>
      <c r="AY52" s="132"/>
      <c r="BX52" s="119">
        <v>55</v>
      </c>
    </row>
    <row r="53" spans="2:76" ht="16.5" customHeight="1">
      <c r="B53" s="212"/>
      <c r="C53" s="116"/>
      <c r="D53" s="116"/>
      <c r="E53" s="116"/>
      <c r="F53" s="116"/>
      <c r="G53" s="116"/>
      <c r="I53" s="212" t="s">
        <v>152</v>
      </c>
      <c r="J53" s="116"/>
      <c r="K53" s="116"/>
      <c r="L53" s="355"/>
      <c r="M53" s="355"/>
      <c r="N53" s="212" t="s">
        <v>172</v>
      </c>
      <c r="O53" s="116"/>
      <c r="P53" s="116"/>
      <c r="Q53" s="356"/>
      <c r="R53" s="212" t="s">
        <v>177</v>
      </c>
      <c r="S53" s="116"/>
      <c r="T53" s="116"/>
      <c r="U53" s="355"/>
      <c r="V53" s="355"/>
      <c r="W53" s="212" t="s">
        <v>180</v>
      </c>
      <c r="X53" s="116"/>
      <c r="Y53" s="116"/>
      <c r="Z53" s="355"/>
      <c r="AA53" s="356"/>
      <c r="AC53" s="212" t="s">
        <v>237</v>
      </c>
      <c r="AD53" s="116"/>
      <c r="AE53" s="116"/>
      <c r="AF53" s="356"/>
      <c r="AG53" s="212" t="s">
        <v>243</v>
      </c>
      <c r="AH53" s="116"/>
      <c r="AI53" s="356"/>
      <c r="AK53" s="138"/>
      <c r="AL53" s="138"/>
      <c r="AM53" s="138"/>
      <c r="AN53" s="138"/>
      <c r="AO53" s="138"/>
      <c r="AP53" s="208"/>
      <c r="AQ53" s="203"/>
      <c r="AR53" s="209"/>
      <c r="AS53" s="132"/>
      <c r="AT53" s="131"/>
      <c r="AU53" s="131"/>
      <c r="AV53" s="140"/>
      <c r="AW53" s="141"/>
      <c r="AX53" s="131"/>
      <c r="AY53" s="132"/>
      <c r="BX53" s="119"/>
    </row>
    <row r="54" spans="2:76" ht="16.5" customHeight="1">
      <c r="B54" s="212"/>
      <c r="C54" s="116"/>
      <c r="D54" s="116"/>
      <c r="E54" s="116"/>
      <c r="F54" s="116"/>
      <c r="G54" s="116"/>
      <c r="I54" s="212" t="s">
        <v>153</v>
      </c>
      <c r="J54" s="116"/>
      <c r="K54" s="116"/>
      <c r="L54" s="355"/>
      <c r="M54" s="355"/>
      <c r="N54" s="316" t="s">
        <v>249</v>
      </c>
      <c r="O54" s="317"/>
      <c r="P54" s="317"/>
      <c r="Q54" s="318"/>
      <c r="R54" s="212" t="s">
        <v>431</v>
      </c>
      <c r="S54" s="116"/>
      <c r="T54" s="116"/>
      <c r="U54" s="355"/>
      <c r="V54" s="355"/>
      <c r="W54" s="212" t="s">
        <v>432</v>
      </c>
      <c r="X54" s="116"/>
      <c r="Y54" s="116"/>
      <c r="Z54" s="355"/>
      <c r="AA54" s="356"/>
      <c r="AC54" s="212" t="s">
        <v>238</v>
      </c>
      <c r="AD54" s="116"/>
      <c r="AE54" s="116"/>
      <c r="AF54" s="356"/>
      <c r="AG54" s="212" t="s">
        <v>244</v>
      </c>
      <c r="AH54" s="116"/>
      <c r="AI54" s="356"/>
      <c r="AK54" s="138"/>
      <c r="AL54" s="138"/>
      <c r="AM54" s="138"/>
      <c r="AN54" s="138"/>
      <c r="AO54" s="138"/>
      <c r="AP54" s="208"/>
      <c r="AQ54" s="203"/>
      <c r="AR54" s="209"/>
      <c r="AS54" s="132"/>
      <c r="AT54" s="131"/>
      <c r="AU54" s="131"/>
      <c r="AV54" s="140"/>
      <c r="AW54" s="141"/>
      <c r="AX54" s="131"/>
      <c r="AY54" s="132"/>
      <c r="BX54" s="119"/>
    </row>
    <row r="55" spans="2:76" ht="16.5" customHeight="1">
      <c r="B55" s="212" t="s">
        <v>433</v>
      </c>
      <c r="C55" s="116"/>
      <c r="D55" s="116"/>
      <c r="E55" s="355"/>
      <c r="F55" s="116"/>
      <c r="G55" s="356"/>
      <c r="I55" s="212" t="s">
        <v>52</v>
      </c>
      <c r="J55" s="116"/>
      <c r="K55" s="116"/>
      <c r="L55" s="355"/>
      <c r="M55" s="355"/>
      <c r="N55" s="212" t="s">
        <v>210</v>
      </c>
      <c r="O55" s="116"/>
      <c r="P55" s="116"/>
      <c r="Q55" s="356"/>
      <c r="R55" s="319" t="s">
        <v>413</v>
      </c>
      <c r="S55" s="313"/>
      <c r="T55" s="313"/>
      <c r="U55" s="313"/>
      <c r="V55" s="309"/>
      <c r="W55" s="309"/>
      <c r="X55" s="309"/>
      <c r="Y55" s="309"/>
      <c r="Z55" s="309"/>
      <c r="AA55" s="315"/>
      <c r="AC55" s="212" t="s">
        <v>239</v>
      </c>
      <c r="AD55" s="116"/>
      <c r="AE55" s="116"/>
      <c r="AF55" s="356"/>
      <c r="AG55" s="212" t="s">
        <v>245</v>
      </c>
      <c r="AH55" s="116"/>
      <c r="AI55" s="356"/>
      <c r="AK55" s="138"/>
      <c r="AL55" s="138"/>
      <c r="AM55" s="138"/>
      <c r="AN55" s="138"/>
      <c r="AO55" s="138"/>
      <c r="AP55" s="208"/>
      <c r="AQ55" s="203"/>
      <c r="AR55" s="209"/>
      <c r="AS55" s="132"/>
      <c r="AT55" s="131"/>
      <c r="AU55" s="131"/>
      <c r="AV55" s="140"/>
      <c r="AW55" s="141"/>
      <c r="AX55" s="131"/>
      <c r="AY55" s="132"/>
      <c r="BX55" s="119"/>
    </row>
    <row r="56" spans="2:76" ht="16.5" customHeight="1">
      <c r="B56" s="212" t="s">
        <v>434</v>
      </c>
      <c r="C56" s="116"/>
      <c r="D56" s="116"/>
      <c r="E56" s="355"/>
      <c r="F56" s="116"/>
      <c r="G56" s="356"/>
      <c r="I56" s="212" t="s">
        <v>53</v>
      </c>
      <c r="J56" s="116"/>
      <c r="K56" s="116"/>
      <c r="L56" s="355"/>
      <c r="M56" s="355"/>
      <c r="N56" s="212" t="s">
        <v>211</v>
      </c>
      <c r="O56" s="116"/>
      <c r="P56" s="116"/>
      <c r="Q56" s="356"/>
      <c r="R56" s="212" t="s">
        <v>213</v>
      </c>
      <c r="S56" s="116"/>
      <c r="T56" s="116"/>
      <c r="U56" s="355"/>
      <c r="V56" s="355"/>
      <c r="W56" s="116" t="s">
        <v>412</v>
      </c>
      <c r="X56" s="116"/>
      <c r="Y56" s="116"/>
      <c r="Z56" s="355"/>
      <c r="AA56" s="356"/>
      <c r="AC56" s="149" t="s">
        <v>240</v>
      </c>
      <c r="AD56" s="138"/>
      <c r="AE56" s="116"/>
      <c r="AF56" s="356"/>
      <c r="AG56" s="212" t="s">
        <v>246</v>
      </c>
      <c r="AH56" s="116"/>
      <c r="AI56" s="356"/>
      <c r="AK56" s="138"/>
      <c r="AL56" s="138"/>
      <c r="AM56" s="138"/>
      <c r="AN56" s="138"/>
      <c r="AO56" s="138"/>
      <c r="AP56" s="208"/>
      <c r="AQ56" s="203"/>
      <c r="AR56" s="209"/>
      <c r="AU56" s="131"/>
      <c r="AV56" s="131">
        <f>ROUNDUP(M55/2,0)</f>
        <v>0</v>
      </c>
      <c r="AW56" s="142">
        <f>M55-AV56</f>
        <v>0</v>
      </c>
      <c r="AX56" s="131"/>
      <c r="AY56" s="132"/>
      <c r="BX56" s="115">
        <v>56</v>
      </c>
    </row>
    <row r="57" spans="2:76" ht="16.5" customHeight="1">
      <c r="B57" s="212" t="s">
        <v>435</v>
      </c>
      <c r="C57" s="116"/>
      <c r="D57" s="116"/>
      <c r="E57" s="355"/>
      <c r="F57" s="116"/>
      <c r="G57" s="356"/>
      <c r="I57" s="212" t="s">
        <v>54</v>
      </c>
      <c r="J57" s="116"/>
      <c r="K57" s="116"/>
      <c r="L57" s="355"/>
      <c r="M57" s="355"/>
      <c r="N57" s="316" t="s">
        <v>250</v>
      </c>
      <c r="O57" s="317"/>
      <c r="P57" s="317"/>
      <c r="Q57" s="318"/>
      <c r="R57" s="212" t="s">
        <v>376</v>
      </c>
      <c r="S57" s="116"/>
      <c r="T57" s="116"/>
      <c r="U57" s="355"/>
      <c r="V57" s="355"/>
      <c r="W57" s="212" t="s">
        <v>360</v>
      </c>
      <c r="X57" s="116"/>
      <c r="Y57" s="116"/>
      <c r="Z57" s="356"/>
      <c r="AA57" s="356"/>
      <c r="AC57" s="319" t="s">
        <v>257</v>
      </c>
      <c r="AD57" s="313"/>
      <c r="AE57" s="313"/>
      <c r="AF57" s="313"/>
      <c r="AG57" s="313"/>
      <c r="AH57" s="313"/>
      <c r="AI57" s="321"/>
      <c r="AK57" s="138"/>
      <c r="AL57" s="138"/>
      <c r="AM57" s="138"/>
      <c r="AN57" s="138"/>
      <c r="AO57" s="138"/>
      <c r="AP57" s="208"/>
      <c r="AQ57" s="203"/>
      <c r="AR57" s="209"/>
      <c r="AU57" s="131"/>
      <c r="AV57" s="131">
        <f>ROUNDUP(M56/2,0)</f>
        <v>0</v>
      </c>
      <c r="AW57" s="142">
        <f>M56-AV57</f>
        <v>0</v>
      </c>
      <c r="AX57" s="131"/>
      <c r="AY57" s="132"/>
      <c r="BX57" s="119">
        <v>57</v>
      </c>
    </row>
    <row r="58" spans="2:76" ht="16.5" customHeight="1">
      <c r="B58" s="212" t="s">
        <v>154</v>
      </c>
      <c r="C58" s="116"/>
      <c r="D58" s="116"/>
      <c r="E58" s="355"/>
      <c r="F58" s="116"/>
      <c r="G58" s="356"/>
      <c r="I58" s="212" t="s">
        <v>55</v>
      </c>
      <c r="J58" s="116"/>
      <c r="K58" s="116"/>
      <c r="L58" s="355"/>
      <c r="M58" s="355"/>
      <c r="N58" s="212" t="s">
        <v>132</v>
      </c>
      <c r="O58" s="138"/>
      <c r="P58" s="116"/>
      <c r="Q58" s="356"/>
      <c r="R58" s="212" t="s">
        <v>216</v>
      </c>
      <c r="S58" s="116"/>
      <c r="T58" s="116"/>
      <c r="U58" s="355"/>
      <c r="V58" s="355"/>
      <c r="W58" s="212" t="s">
        <v>361</v>
      </c>
      <c r="X58" s="116"/>
      <c r="Y58" s="116"/>
      <c r="Z58" s="356"/>
      <c r="AA58" s="356"/>
      <c r="AC58" s="212" t="s">
        <v>268</v>
      </c>
      <c r="AD58" s="116"/>
      <c r="AE58" s="116"/>
      <c r="AF58" s="356"/>
      <c r="AG58" s="212" t="s">
        <v>269</v>
      </c>
      <c r="AH58" s="116"/>
      <c r="AI58" s="356"/>
      <c r="AK58" s="138"/>
      <c r="AL58" s="138"/>
      <c r="AM58" s="138"/>
      <c r="AN58" s="138"/>
      <c r="AO58" s="138"/>
      <c r="AP58" s="208"/>
      <c r="AQ58" s="203"/>
      <c r="AR58" s="209"/>
      <c r="AU58" s="131"/>
      <c r="AV58" s="131">
        <f>ROUNDUP(M57/2,0)</f>
        <v>0</v>
      </c>
      <c r="AW58" s="142">
        <f>M57-AV58</f>
        <v>0</v>
      </c>
      <c r="AX58" s="131"/>
      <c r="AY58" s="132"/>
      <c r="BX58" s="115">
        <v>58</v>
      </c>
    </row>
    <row r="59" spans="2:76" ht="16.5" customHeight="1">
      <c r="B59" s="212" t="s">
        <v>155</v>
      </c>
      <c r="C59" s="116"/>
      <c r="D59" s="116"/>
      <c r="E59" s="355"/>
      <c r="F59" s="116"/>
      <c r="G59" s="356"/>
      <c r="I59" s="212" t="s">
        <v>56</v>
      </c>
      <c r="J59" s="116"/>
      <c r="K59" s="116"/>
      <c r="L59" s="355"/>
      <c r="M59" s="355"/>
      <c r="N59" s="212" t="s">
        <v>133</v>
      </c>
      <c r="O59" s="138"/>
      <c r="P59" s="116"/>
      <c r="Q59" s="356"/>
      <c r="R59" s="212" t="s">
        <v>411</v>
      </c>
      <c r="S59" s="116"/>
      <c r="T59" s="116"/>
      <c r="U59" s="355"/>
      <c r="V59" s="355"/>
      <c r="W59" s="212" t="s">
        <v>362</v>
      </c>
      <c r="X59" s="116"/>
      <c r="Y59" s="116"/>
      <c r="Z59" s="356"/>
      <c r="AA59" s="356"/>
      <c r="AC59" s="319" t="s">
        <v>359</v>
      </c>
      <c r="AD59" s="313"/>
      <c r="AE59" s="313"/>
      <c r="AF59" s="313"/>
      <c r="AG59" s="313"/>
      <c r="AH59" s="313"/>
      <c r="AI59" s="321"/>
      <c r="AK59" s="138"/>
      <c r="AL59" s="138"/>
      <c r="AM59" s="138"/>
      <c r="AN59" s="138"/>
      <c r="AO59" s="138"/>
      <c r="AP59" s="208"/>
      <c r="AQ59" s="203"/>
      <c r="AR59" s="209"/>
      <c r="AU59" s="131"/>
      <c r="AV59" s="131">
        <f>ROUNDUP(M58/2,0)</f>
        <v>0</v>
      </c>
      <c r="AW59" s="142">
        <f>M58-AV59</f>
        <v>0</v>
      </c>
      <c r="AX59" s="131"/>
      <c r="AY59" s="132"/>
      <c r="BX59" s="119">
        <v>59</v>
      </c>
    </row>
    <row r="60" spans="2:76" ht="16.5" customHeight="1">
      <c r="B60" s="319" t="s">
        <v>358</v>
      </c>
      <c r="C60" s="313"/>
      <c r="D60" s="313"/>
      <c r="E60" s="313"/>
      <c r="F60" s="313"/>
      <c r="G60" s="321"/>
      <c r="I60" s="212" t="s">
        <v>127</v>
      </c>
      <c r="J60" s="116"/>
      <c r="K60" s="116"/>
      <c r="L60" s="355"/>
      <c r="M60" s="355"/>
      <c r="N60" s="319" t="s">
        <v>251</v>
      </c>
      <c r="O60" s="309"/>
      <c r="P60" s="309"/>
      <c r="Q60" s="320"/>
      <c r="R60" s="319" t="s">
        <v>410</v>
      </c>
      <c r="S60" s="313"/>
      <c r="T60" s="313"/>
      <c r="U60" s="313"/>
      <c r="V60" s="309"/>
      <c r="W60" s="309"/>
      <c r="X60" s="309"/>
      <c r="Y60" s="309"/>
      <c r="Z60" s="309"/>
      <c r="AA60" s="315"/>
      <c r="AC60" s="149" t="s">
        <v>363</v>
      </c>
      <c r="AD60" s="138"/>
      <c r="AE60" s="116"/>
      <c r="AF60" s="356"/>
      <c r="AG60" s="212" t="s">
        <v>365</v>
      </c>
      <c r="AH60" s="116"/>
      <c r="AI60" s="356"/>
      <c r="AK60" s="138"/>
      <c r="AL60" s="138"/>
      <c r="AM60" s="138"/>
      <c r="AN60" s="138"/>
      <c r="AO60" s="138"/>
      <c r="AP60" s="208"/>
      <c r="AQ60" s="203"/>
      <c r="AR60" s="209"/>
      <c r="AU60" s="131"/>
      <c r="AV60" s="131">
        <f>ROUNDUP(M59/2,0)</f>
        <v>0</v>
      </c>
      <c r="AW60" s="142">
        <f>M59-AV60</f>
        <v>0</v>
      </c>
      <c r="AX60" s="131"/>
      <c r="AY60" s="132"/>
      <c r="BX60" s="115">
        <v>60</v>
      </c>
    </row>
    <row r="61" spans="2:76" ht="16.5" customHeight="1">
      <c r="B61" s="212" t="s">
        <v>260</v>
      </c>
      <c r="C61" s="116"/>
      <c r="D61" s="116"/>
      <c r="E61" s="355"/>
      <c r="F61" s="205"/>
      <c r="G61" s="213"/>
      <c r="I61" s="212" t="s">
        <v>209</v>
      </c>
      <c r="J61" s="116"/>
      <c r="K61" s="116"/>
      <c r="L61" s="355"/>
      <c r="M61" s="355"/>
      <c r="N61" s="212" t="s">
        <v>218</v>
      </c>
      <c r="O61" s="116"/>
      <c r="P61" s="116"/>
      <c r="Q61" s="356"/>
      <c r="R61" s="212" t="s">
        <v>427</v>
      </c>
      <c r="S61" s="116"/>
      <c r="U61" s="356"/>
      <c r="V61" s="356"/>
      <c r="W61" s="116" t="s">
        <v>428</v>
      </c>
      <c r="X61" s="116"/>
      <c r="Y61" s="116"/>
      <c r="Z61" s="356"/>
      <c r="AA61" s="356"/>
      <c r="AC61" s="319" t="s">
        <v>258</v>
      </c>
      <c r="AD61" s="313"/>
      <c r="AE61" s="313"/>
      <c r="AF61" s="313"/>
      <c r="AG61" s="313"/>
      <c r="AH61" s="313"/>
      <c r="AI61" s="321"/>
      <c r="AK61" s="138"/>
      <c r="AL61" s="138"/>
      <c r="AM61" s="138"/>
      <c r="AN61" s="138"/>
      <c r="AO61" s="138"/>
      <c r="AP61" s="208"/>
      <c r="AQ61" s="203"/>
      <c r="AR61" s="209"/>
      <c r="AU61" s="131"/>
      <c r="AV61" s="131"/>
      <c r="AW61" s="142"/>
      <c r="AX61" s="131"/>
      <c r="AY61" s="132"/>
    </row>
    <row r="62" spans="2:76" ht="16.5" customHeight="1">
      <c r="B62" s="212" t="s">
        <v>261</v>
      </c>
      <c r="C62" s="116"/>
      <c r="D62" s="116"/>
      <c r="E62" s="355"/>
      <c r="F62" s="205"/>
      <c r="G62" s="213"/>
      <c r="I62" s="149" t="s">
        <v>143</v>
      </c>
      <c r="J62" s="138"/>
      <c r="K62" s="116"/>
      <c r="L62" s="355"/>
      <c r="M62" s="355"/>
      <c r="N62" s="212" t="s">
        <v>217</v>
      </c>
      <c r="O62" s="116"/>
      <c r="P62" s="116"/>
      <c r="Q62" s="356"/>
      <c r="R62" s="212" t="s">
        <v>429</v>
      </c>
      <c r="S62" s="116"/>
      <c r="U62" s="116"/>
      <c r="V62" s="356"/>
      <c r="W62" s="116" t="s">
        <v>430</v>
      </c>
      <c r="X62" s="116"/>
      <c r="Y62" s="116"/>
      <c r="Z62" s="116"/>
      <c r="AA62" s="356"/>
      <c r="AC62" s="212" t="s">
        <v>384</v>
      </c>
      <c r="AD62" s="116"/>
      <c r="AE62" s="116"/>
      <c r="AF62" s="356"/>
      <c r="AG62" s="116"/>
      <c r="AH62" s="116"/>
      <c r="AI62" s="217"/>
      <c r="AK62" s="138"/>
      <c r="AL62" s="138"/>
      <c r="AM62" s="138"/>
      <c r="AN62" s="138"/>
      <c r="AO62" s="138"/>
      <c r="AP62" s="208"/>
      <c r="AQ62" s="203"/>
      <c r="AR62" s="209"/>
      <c r="AU62" s="131"/>
      <c r="AV62" s="131"/>
      <c r="AW62" s="142"/>
      <c r="AX62" s="131"/>
      <c r="AY62" s="132"/>
    </row>
    <row r="63" spans="2:76" ht="16.5" customHeight="1">
      <c r="B63" s="212" t="s">
        <v>262</v>
      </c>
      <c r="C63" s="116"/>
      <c r="D63" s="116"/>
      <c r="E63" s="355"/>
      <c r="F63" s="205"/>
      <c r="G63" s="213"/>
      <c r="I63" s="212" t="s">
        <v>144</v>
      </c>
      <c r="J63" s="116"/>
      <c r="K63" s="116"/>
      <c r="L63" s="355"/>
      <c r="M63" s="355"/>
      <c r="N63" s="319" t="s">
        <v>355</v>
      </c>
      <c r="O63" s="309"/>
      <c r="P63" s="309"/>
      <c r="Q63" s="320"/>
      <c r="R63" s="319" t="s">
        <v>414</v>
      </c>
      <c r="S63" s="313"/>
      <c r="T63" s="313"/>
      <c r="U63" s="313"/>
      <c r="V63" s="309"/>
      <c r="W63" s="309"/>
      <c r="X63" s="309"/>
      <c r="Y63" s="309"/>
      <c r="Z63" s="309"/>
      <c r="AA63" s="315"/>
      <c r="AC63" s="212" t="s">
        <v>377</v>
      </c>
      <c r="AD63" s="116"/>
      <c r="AE63" s="116"/>
      <c r="AF63" s="356"/>
      <c r="AG63" s="116" t="s">
        <v>378</v>
      </c>
      <c r="AH63" s="116"/>
      <c r="AI63" s="356"/>
      <c r="AK63" s="138"/>
      <c r="AL63" s="138"/>
      <c r="AM63" s="138"/>
      <c r="AN63" s="138"/>
      <c r="AO63" s="138"/>
      <c r="AP63" s="208"/>
      <c r="AQ63" s="203"/>
      <c r="AR63" s="209"/>
      <c r="AU63" s="131"/>
      <c r="AV63" s="131"/>
      <c r="AW63" s="142"/>
      <c r="AX63" s="131"/>
      <c r="AY63" s="132"/>
    </row>
    <row r="64" spans="2:76" ht="16.5" customHeight="1">
      <c r="B64" s="212" t="s">
        <v>263</v>
      </c>
      <c r="C64" s="116"/>
      <c r="D64" s="116"/>
      <c r="E64" s="355"/>
      <c r="F64" s="205"/>
      <c r="G64" s="213"/>
      <c r="I64" s="212" t="s">
        <v>128</v>
      </c>
      <c r="J64" s="116"/>
      <c r="K64" s="116"/>
      <c r="L64" s="355"/>
      <c r="M64" s="355"/>
      <c r="N64" s="212" t="s">
        <v>356</v>
      </c>
      <c r="O64" s="116"/>
      <c r="P64" s="116"/>
      <c r="Q64" s="356"/>
      <c r="R64" s="212" t="s">
        <v>213</v>
      </c>
      <c r="S64" s="116"/>
      <c r="T64" s="116"/>
      <c r="U64" s="116"/>
      <c r="V64" s="355"/>
      <c r="W64" s="116" t="s">
        <v>215</v>
      </c>
      <c r="X64" s="116"/>
      <c r="Y64" s="116"/>
      <c r="Z64" s="116"/>
      <c r="AA64" s="356"/>
      <c r="AC64" s="212" t="s">
        <v>356</v>
      </c>
      <c r="AD64" s="116"/>
      <c r="AE64" s="116"/>
      <c r="AF64" s="356"/>
      <c r="AG64" s="116" t="s">
        <v>379</v>
      </c>
      <c r="AH64" s="116"/>
      <c r="AI64" s="356"/>
      <c r="AK64" s="138"/>
      <c r="AL64" s="138"/>
      <c r="AM64" s="138"/>
      <c r="AN64" s="138"/>
      <c r="AO64" s="138"/>
      <c r="AP64" s="208"/>
      <c r="AQ64" s="203"/>
      <c r="AR64" s="209"/>
      <c r="AU64" s="131"/>
      <c r="AV64" s="131"/>
      <c r="AW64" s="142"/>
      <c r="AX64" s="131"/>
      <c r="AY64" s="132"/>
    </row>
    <row r="65" spans="1:76" ht="16.5" customHeight="1">
      <c r="B65" s="212" t="s">
        <v>264</v>
      </c>
      <c r="C65" s="116"/>
      <c r="D65" s="116"/>
      <c r="E65" s="355"/>
      <c r="F65" s="205"/>
      <c r="G65" s="213"/>
      <c r="I65" s="212" t="s">
        <v>129</v>
      </c>
      <c r="J65" s="116"/>
      <c r="K65" s="116"/>
      <c r="L65" s="355"/>
      <c r="M65" s="355"/>
      <c r="N65" s="212"/>
      <c r="O65" s="116"/>
      <c r="P65" s="116"/>
      <c r="Q65" s="217"/>
      <c r="R65" s="212" t="s">
        <v>214</v>
      </c>
      <c r="S65" s="116"/>
      <c r="T65" s="116"/>
      <c r="U65" s="116"/>
      <c r="V65" s="355"/>
      <c r="W65" s="212" t="s">
        <v>216</v>
      </c>
      <c r="X65" s="116"/>
      <c r="Y65" s="116"/>
      <c r="Z65" s="116"/>
      <c r="AA65" s="356"/>
      <c r="AC65" s="319" t="s">
        <v>380</v>
      </c>
      <c r="AD65" s="313"/>
      <c r="AE65" s="313"/>
      <c r="AF65" s="313"/>
      <c r="AG65" s="313"/>
      <c r="AH65" s="313"/>
      <c r="AI65" s="321"/>
      <c r="AK65" s="138"/>
      <c r="AL65" s="138"/>
      <c r="AM65" s="138"/>
      <c r="AN65" s="138"/>
      <c r="AO65" s="138"/>
      <c r="AP65" s="208"/>
      <c r="AQ65" s="203"/>
      <c r="AR65" s="209"/>
      <c r="AU65" s="131"/>
      <c r="AV65" s="131"/>
      <c r="AW65" s="142"/>
      <c r="AX65" s="131"/>
      <c r="AY65" s="132"/>
    </row>
    <row r="66" spans="1:76" ht="16.5" customHeight="1">
      <c r="B66" s="212" t="s">
        <v>265</v>
      </c>
      <c r="C66" s="116"/>
      <c r="D66" s="116"/>
      <c r="E66" s="355"/>
      <c r="F66" s="205"/>
      <c r="G66" s="213"/>
      <c r="I66" s="319" t="s">
        <v>252</v>
      </c>
      <c r="J66" s="313"/>
      <c r="K66" s="313"/>
      <c r="L66" s="313"/>
      <c r="M66" s="313"/>
      <c r="N66" s="212"/>
      <c r="O66" s="116"/>
      <c r="P66" s="116"/>
      <c r="Q66" s="217"/>
      <c r="R66" s="212" t="s">
        <v>411</v>
      </c>
      <c r="S66" s="116"/>
      <c r="T66" s="116"/>
      <c r="U66" s="116"/>
      <c r="V66" s="355"/>
      <c r="W66" s="212" t="s">
        <v>412</v>
      </c>
      <c r="X66" s="116"/>
      <c r="Y66" s="116"/>
      <c r="Z66" s="116"/>
      <c r="AA66" s="356"/>
      <c r="AC66" s="301" t="s">
        <v>385</v>
      </c>
      <c r="AD66" s="387"/>
      <c r="AE66" s="387"/>
      <c r="AF66" s="387"/>
      <c r="AG66" s="387"/>
      <c r="AH66" s="387"/>
      <c r="AI66" s="356"/>
      <c r="AK66" s="138"/>
      <c r="AL66" s="138"/>
      <c r="AM66" s="138"/>
      <c r="AN66" s="138"/>
      <c r="AO66" s="138"/>
      <c r="AP66" s="208"/>
      <c r="AQ66" s="203"/>
      <c r="AR66" s="209"/>
      <c r="AU66" s="131"/>
      <c r="AV66" s="131"/>
      <c r="AW66" s="142"/>
      <c r="AX66" s="131"/>
      <c r="AY66" s="132"/>
    </row>
    <row r="67" spans="1:76" ht="15" customHeight="1">
      <c r="B67" s="212" t="s">
        <v>266</v>
      </c>
      <c r="C67" s="116"/>
      <c r="D67" s="116"/>
      <c r="E67" s="355"/>
      <c r="F67" s="205"/>
      <c r="G67" s="213"/>
      <c r="I67" s="312" t="s">
        <v>168</v>
      </c>
      <c r="J67" s="313"/>
      <c r="K67" s="313"/>
      <c r="L67" s="314">
        <v>1</v>
      </c>
      <c r="M67" s="314">
        <v>2</v>
      </c>
      <c r="N67" s="212"/>
      <c r="O67" s="116"/>
      <c r="P67" s="116"/>
      <c r="Q67" s="217"/>
      <c r="R67" s="319" t="s">
        <v>247</v>
      </c>
      <c r="S67" s="313"/>
      <c r="T67" s="313"/>
      <c r="U67" s="313" t="s">
        <v>233</v>
      </c>
      <c r="V67" s="309"/>
      <c r="W67" s="309" t="s">
        <v>234</v>
      </c>
      <c r="X67" s="309"/>
      <c r="Y67" s="309"/>
      <c r="Z67" s="309"/>
      <c r="AA67" s="315"/>
      <c r="AC67" s="212"/>
      <c r="AD67" s="116"/>
      <c r="AE67" s="116"/>
      <c r="AF67" s="116"/>
      <c r="AG67" s="116"/>
      <c r="AH67" s="116"/>
      <c r="AI67" s="217"/>
      <c r="AK67" s="138"/>
      <c r="AL67" s="138"/>
      <c r="AM67" s="138"/>
      <c r="AN67" s="138"/>
      <c r="AO67" s="138"/>
      <c r="AP67" s="208"/>
      <c r="AQ67" s="203"/>
      <c r="AR67" s="209"/>
      <c r="AS67" s="132"/>
      <c r="AT67" s="131"/>
      <c r="AU67" s="131"/>
      <c r="AV67" s="140" t="s">
        <v>114</v>
      </c>
      <c r="AW67" s="141" t="s">
        <v>115</v>
      </c>
      <c r="AX67" s="131"/>
      <c r="AY67" s="132"/>
      <c r="BX67" s="119">
        <v>55</v>
      </c>
    </row>
    <row r="68" spans="1:76" ht="16.5" customHeight="1">
      <c r="B68" s="212" t="s">
        <v>267</v>
      </c>
      <c r="C68" s="116"/>
      <c r="D68" s="116"/>
      <c r="E68" s="355"/>
      <c r="F68" s="205"/>
      <c r="G68" s="213"/>
      <c r="I68" s="218" t="s">
        <v>226</v>
      </c>
      <c r="J68" s="211"/>
      <c r="K68" s="210"/>
      <c r="L68" s="355"/>
      <c r="M68" s="355"/>
      <c r="N68" s="212"/>
      <c r="O68" s="116"/>
      <c r="P68" s="116"/>
      <c r="Q68" s="217"/>
      <c r="R68" s="212" t="s">
        <v>52</v>
      </c>
      <c r="S68" s="116"/>
      <c r="T68" s="116"/>
      <c r="U68" s="355"/>
      <c r="V68" s="205"/>
      <c r="W68" s="355"/>
      <c r="X68" s="116"/>
      <c r="Y68" s="116"/>
      <c r="Z68" s="116"/>
      <c r="AA68" s="217"/>
      <c r="AC68" s="212"/>
      <c r="AD68" s="116"/>
      <c r="AE68" s="116"/>
      <c r="AF68" s="116"/>
      <c r="AG68" s="116"/>
      <c r="AH68" s="116"/>
      <c r="AI68" s="217"/>
      <c r="AK68" s="138"/>
      <c r="AL68" s="138"/>
      <c r="AM68" s="228"/>
      <c r="AN68" s="228"/>
      <c r="AO68" s="229"/>
      <c r="AP68" s="228"/>
      <c r="AU68" s="131"/>
      <c r="AV68" s="131"/>
      <c r="AW68" s="142"/>
      <c r="AX68" s="131"/>
      <c r="AY68" s="132"/>
    </row>
    <row r="69" spans="1:76" ht="16.5" customHeight="1">
      <c r="B69" s="214"/>
      <c r="C69" s="215"/>
      <c r="D69" s="215"/>
      <c r="E69" s="215"/>
      <c r="F69" s="216"/>
      <c r="G69" s="219"/>
      <c r="I69" s="220" t="s">
        <v>212</v>
      </c>
      <c r="J69" s="221"/>
      <c r="K69" s="222"/>
      <c r="L69" s="357"/>
      <c r="M69" s="357"/>
      <c r="N69" s="214"/>
      <c r="O69" s="215"/>
      <c r="P69" s="215"/>
      <c r="Q69" s="219"/>
      <c r="R69" s="214" t="s">
        <v>169</v>
      </c>
      <c r="S69" s="215"/>
      <c r="T69" s="215"/>
      <c r="U69" s="357"/>
      <c r="V69" s="216"/>
      <c r="W69" s="357"/>
      <c r="X69" s="215"/>
      <c r="Y69" s="215"/>
      <c r="Z69" s="215"/>
      <c r="AA69" s="219"/>
      <c r="AC69" s="214"/>
      <c r="AD69" s="215"/>
      <c r="AE69" s="215"/>
      <c r="AF69" s="215"/>
      <c r="AG69" s="215"/>
      <c r="AH69" s="215"/>
      <c r="AI69" s="219"/>
      <c r="AK69" s="138"/>
      <c r="AL69" s="138"/>
      <c r="AM69" s="228"/>
      <c r="AN69" s="228"/>
      <c r="AO69" s="229"/>
      <c r="AP69" s="228"/>
      <c r="AU69" s="131"/>
      <c r="AV69" s="131"/>
      <c r="AW69" s="142"/>
      <c r="AX69" s="131"/>
      <c r="AY69" s="132"/>
    </row>
    <row r="70" spans="1:76" ht="5.25" customHeight="1">
      <c r="AN70" s="132"/>
      <c r="AO70" s="133"/>
      <c r="AP70" s="132"/>
      <c r="AQ70" s="132"/>
      <c r="AR70" s="132"/>
      <c r="AS70" s="132"/>
      <c r="AT70" s="131"/>
      <c r="AU70" s="131"/>
      <c r="AV70" s="131"/>
      <c r="AW70" s="131"/>
      <c r="AX70" s="131"/>
      <c r="AY70" s="132"/>
      <c r="BI70" s="119"/>
      <c r="BJ70" s="119"/>
      <c r="BK70" s="119"/>
      <c r="BL70" s="119"/>
      <c r="BM70" s="119"/>
      <c r="BN70" s="119"/>
      <c r="BO70" s="119"/>
      <c r="BP70" s="119"/>
      <c r="BQ70" s="119"/>
      <c r="BR70" s="119"/>
      <c r="BS70" s="119"/>
      <c r="BT70" s="119"/>
      <c r="BX70" s="119"/>
    </row>
    <row r="71" spans="1:76" s="119" customFormat="1" ht="18" customHeight="1">
      <c r="B71" s="115"/>
      <c r="C71" s="322" t="s">
        <v>163</v>
      </c>
      <c r="D71" s="323"/>
      <c r="E71" s="323"/>
      <c r="F71" s="323"/>
      <c r="G71" s="323"/>
      <c r="H71" s="323"/>
      <c r="I71" s="323"/>
      <c r="J71" s="323"/>
      <c r="K71" s="324"/>
      <c r="L71" s="524">
        <f>SUM(M52:M65)+SUM(L52:L65)+SUM(W68:W69)+Q55+Q56+Q58+Q59+SUM(U68:U69)+SUM(E52:E59)+SUM(G52:G59)+SUM(Q51:Q53)+SUM(L68:L69)+SUM(M68:M69)+SUM(U52:U54)+SUM(V52:V54)+SUM(Q61:Q62)+AI64+AF64+AF63+SUM(E61:E68)+SUM(AF51:AF56)+SUM(AF58:AF58)+AF62+Q64+AI66+SUM(AI63)+SUM(AI51:AI56)+AI58+AI60+AF60+SUM(U56:U59)+SUM(Z56:Z59)+AA62+U61+V61+Z61+AA61+V62+AA64+AA65+AA66+V66+V65+V64+V59+V58+V57+V56+Z52+Z53+Z54+AA52+AA53+AA54+AA56+AA57+AA58+AA59</f>
        <v>0</v>
      </c>
      <c r="M71" s="525"/>
      <c r="N71" s="518" t="s">
        <v>57</v>
      </c>
      <c r="O71" s="519"/>
      <c r="P71" s="519"/>
      <c r="Q71" s="519"/>
      <c r="R71" s="516">
        <f>SUM(Calcul!D44:D213)</f>
        <v>0</v>
      </c>
      <c r="S71" s="517"/>
      <c r="T71" s="143" t="s">
        <v>0</v>
      </c>
      <c r="U71" s="144"/>
      <c r="V71" s="518" t="s">
        <v>173</v>
      </c>
      <c r="W71" s="519"/>
      <c r="X71" s="519"/>
      <c r="Y71" s="519"/>
      <c r="Z71" s="519"/>
      <c r="AA71" s="519"/>
      <c r="AB71" s="519"/>
      <c r="AC71" s="519"/>
      <c r="AD71" s="519"/>
      <c r="AE71" s="520"/>
      <c r="AF71" s="507">
        <f>IF(R71=0,0,R71/(AD12*AD14)*100)</f>
        <v>0</v>
      </c>
      <c r="AG71" s="508"/>
      <c r="AH71" s="510" t="s">
        <v>1</v>
      </c>
      <c r="AI71" s="511"/>
      <c r="AN71" s="136"/>
      <c r="AO71" s="136"/>
      <c r="AP71" s="136"/>
      <c r="AQ71" s="136"/>
      <c r="AR71" s="136"/>
      <c r="AS71" s="136"/>
      <c r="AT71" s="137"/>
      <c r="AU71" s="137"/>
      <c r="AV71" s="137"/>
      <c r="AW71" s="137"/>
      <c r="AX71" s="137"/>
      <c r="AY71" s="136"/>
      <c r="BX71" s="115">
        <v>62</v>
      </c>
    </row>
    <row r="72" spans="1:76" ht="3" customHeight="1">
      <c r="AN72" s="132"/>
      <c r="AO72" s="133"/>
      <c r="AP72" s="132"/>
      <c r="AQ72" s="132"/>
      <c r="AR72" s="132"/>
      <c r="AS72" s="132"/>
      <c r="AT72" s="132"/>
      <c r="AU72" s="132"/>
      <c r="AV72" s="132"/>
      <c r="AW72" s="132"/>
      <c r="AX72" s="132"/>
      <c r="AY72" s="132"/>
      <c r="BX72" s="119">
        <v>63</v>
      </c>
    </row>
    <row r="73" spans="1:76" ht="18.75" customHeight="1">
      <c r="C73" s="349" t="s">
        <v>191</v>
      </c>
      <c r="D73" s="353"/>
      <c r="E73" s="353"/>
      <c r="F73" s="353"/>
      <c r="G73" s="353"/>
      <c r="H73" s="353"/>
      <c r="I73" s="353"/>
      <c r="J73" s="353"/>
      <c r="K73" s="353"/>
      <c r="L73" s="353"/>
      <c r="M73" s="353"/>
      <c r="N73" s="353"/>
      <c r="O73" s="353"/>
      <c r="P73" s="353"/>
      <c r="Q73" s="353"/>
      <c r="R73" s="353"/>
      <c r="S73" s="353"/>
      <c r="T73" s="353"/>
      <c r="U73" s="353"/>
      <c r="V73" s="353"/>
      <c r="W73" s="353"/>
      <c r="X73" s="353"/>
      <c r="Y73" s="351"/>
      <c r="Z73" s="351"/>
      <c r="AA73" s="354" t="s">
        <v>59</v>
      </c>
      <c r="AB73" s="351"/>
      <c r="AC73" s="351"/>
      <c r="AD73" s="351"/>
      <c r="AE73" s="351"/>
      <c r="AF73" s="351"/>
      <c r="AG73" s="509" t="e">
        <f>AVERAGE(Q79:W79)</f>
        <v>#DIV/0!</v>
      </c>
      <c r="AH73" s="509"/>
      <c r="AI73" s="509"/>
      <c r="AJ73" s="13"/>
      <c r="AR73" s="132"/>
      <c r="AS73" s="132"/>
      <c r="AT73" s="132"/>
      <c r="AU73" s="132"/>
      <c r="AV73" s="132"/>
      <c r="AW73" s="132"/>
      <c r="AX73" s="132"/>
      <c r="BX73" s="119">
        <v>71</v>
      </c>
    </row>
    <row r="74" spans="1:76" ht="6" customHeight="1">
      <c r="BX74" s="115">
        <v>72</v>
      </c>
    </row>
    <row r="75" spans="1:76" ht="14.4">
      <c r="B75" s="523" t="s">
        <v>58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BX75" s="119">
        <v>73</v>
      </c>
    </row>
    <row r="76" spans="1:76" ht="20.25" customHeight="1">
      <c r="BI76" s="119"/>
      <c r="BJ76" s="119"/>
      <c r="BK76" s="119"/>
      <c r="BX76" s="115">
        <v>74</v>
      </c>
    </row>
    <row r="77" spans="1:76" ht="14.4">
      <c r="A77" s="13"/>
      <c r="C77" s="13" t="s">
        <v>60</v>
      </c>
      <c r="L77" s="489">
        <v>125</v>
      </c>
      <c r="M77" s="490"/>
      <c r="N77" s="489">
        <v>250</v>
      </c>
      <c r="O77" s="493"/>
      <c r="P77" s="493"/>
      <c r="Q77" s="489">
        <v>500</v>
      </c>
      <c r="R77" s="493"/>
      <c r="S77" s="493"/>
      <c r="T77" s="489">
        <v>1000</v>
      </c>
      <c r="U77" s="490"/>
      <c r="V77" s="489">
        <v>2000</v>
      </c>
      <c r="W77" s="493"/>
      <c r="X77" s="493"/>
      <c r="Y77" s="493"/>
      <c r="Z77" s="489">
        <v>4000</v>
      </c>
      <c r="AA77" s="490"/>
      <c r="AB77" s="223"/>
      <c r="AK77" s="145"/>
      <c r="AO77" s="115"/>
      <c r="BX77" s="119">
        <v>75</v>
      </c>
    </row>
    <row r="78" spans="1:76">
      <c r="D78" s="148" t="s">
        <v>61</v>
      </c>
      <c r="E78" s="146"/>
      <c r="F78" s="146"/>
      <c r="G78" s="146"/>
      <c r="H78" s="146"/>
      <c r="I78" s="146"/>
      <c r="J78" s="146"/>
      <c r="K78" s="146"/>
      <c r="L78" s="491" t="e">
        <f>Calcul!E249</f>
        <v>#DIV/0!</v>
      </c>
      <c r="M78" s="492"/>
      <c r="N78" s="491" t="e">
        <f>Calcul!F249</f>
        <v>#DIV/0!</v>
      </c>
      <c r="O78" s="492"/>
      <c r="P78" s="492"/>
      <c r="Q78" s="491" t="e">
        <f>Calcul!G249</f>
        <v>#DIV/0!</v>
      </c>
      <c r="R78" s="492"/>
      <c r="S78" s="492"/>
      <c r="T78" s="496" t="e">
        <f>Calcul!H249</f>
        <v>#DIV/0!</v>
      </c>
      <c r="U78" s="497"/>
      <c r="V78" s="491" t="e">
        <f>Calcul!I249</f>
        <v>#DIV/0!</v>
      </c>
      <c r="W78" s="492"/>
      <c r="X78" s="492"/>
      <c r="Y78" s="492"/>
      <c r="Z78" s="491" t="e">
        <f>Calcul!J249</f>
        <v>#DIV/0!</v>
      </c>
      <c r="AA78" s="492"/>
      <c r="AB78" s="224"/>
      <c r="AK78" s="145"/>
      <c r="AO78" s="115"/>
      <c r="BI78" s="13"/>
      <c r="BJ78" s="13"/>
      <c r="BK78" s="13"/>
      <c r="BX78" s="115">
        <v>76</v>
      </c>
    </row>
    <row r="79" spans="1:76" ht="14.4">
      <c r="D79" s="149" t="s">
        <v>62</v>
      </c>
      <c r="E79" s="147"/>
      <c r="F79" s="147"/>
      <c r="G79" s="147"/>
      <c r="H79" s="147"/>
      <c r="I79" s="147"/>
      <c r="J79" s="147"/>
      <c r="K79" s="147"/>
      <c r="L79" s="498" t="e">
        <f>Calcul!E254</f>
        <v>#DIV/0!</v>
      </c>
      <c r="M79" s="499"/>
      <c r="N79" s="498" t="e">
        <f>Calcul!F254</f>
        <v>#DIV/0!</v>
      </c>
      <c r="O79" s="499"/>
      <c r="P79" s="499"/>
      <c r="Q79" s="498" t="e">
        <f>Calcul!G254</f>
        <v>#DIV/0!</v>
      </c>
      <c r="R79" s="499"/>
      <c r="S79" s="499"/>
      <c r="T79" s="521" t="e">
        <f>Calcul!H254</f>
        <v>#DIV/0!</v>
      </c>
      <c r="U79" s="522"/>
      <c r="V79" s="498" t="e">
        <f>Calcul!I254</f>
        <v>#DIV/0!</v>
      </c>
      <c r="W79" s="499"/>
      <c r="X79" s="499"/>
      <c r="Y79" s="499"/>
      <c r="Z79" s="498" t="e">
        <f>Calcul!J254</f>
        <v>#DIV/0!</v>
      </c>
      <c r="AA79" s="499"/>
      <c r="AB79" s="224"/>
      <c r="AK79" s="145"/>
      <c r="AO79" s="115"/>
      <c r="BX79" s="119">
        <v>77</v>
      </c>
    </row>
    <row r="80" spans="1:76" ht="16.5" customHeight="1">
      <c r="I80" s="16"/>
      <c r="AK80" s="145"/>
      <c r="AO80" s="115"/>
      <c r="BJ80" s="119"/>
      <c r="BX80" s="115">
        <v>78</v>
      </c>
    </row>
    <row r="81" spans="3:76" ht="14.4">
      <c r="C81" s="13" t="s">
        <v>60</v>
      </c>
      <c r="L81" s="489" t="s">
        <v>63</v>
      </c>
      <c r="M81" s="493"/>
      <c r="N81" s="493"/>
      <c r="O81" s="493"/>
      <c r="P81" s="493"/>
      <c r="Q81" s="489" t="s">
        <v>64</v>
      </c>
      <c r="R81" s="493"/>
      <c r="S81" s="493"/>
      <c r="T81" s="493"/>
      <c r="U81" s="493"/>
      <c r="V81" s="489" t="s">
        <v>65</v>
      </c>
      <c r="W81" s="493"/>
      <c r="X81" s="493"/>
      <c r="Y81" s="493"/>
      <c r="Z81" s="493"/>
      <c r="AA81" s="493"/>
      <c r="AK81" s="145"/>
      <c r="AO81" s="115"/>
      <c r="BX81" s="119">
        <v>79</v>
      </c>
    </row>
    <row r="82" spans="3:76">
      <c r="D82" s="148" t="s">
        <v>61</v>
      </c>
      <c r="E82" s="146"/>
      <c r="F82" s="146"/>
      <c r="G82" s="146"/>
      <c r="H82" s="146"/>
      <c r="I82" s="146"/>
      <c r="J82" s="146"/>
      <c r="K82" s="146"/>
      <c r="L82" s="526" t="e">
        <f>AVERAGE(L78:O78)</f>
        <v>#DIV/0!</v>
      </c>
      <c r="M82" s="527"/>
      <c r="N82" s="527"/>
      <c r="O82" s="527"/>
      <c r="P82" s="527"/>
      <c r="Q82" s="528" t="e">
        <f>AVERAGE(Q78:U78)</f>
        <v>#DIV/0!</v>
      </c>
      <c r="R82" s="467"/>
      <c r="S82" s="467"/>
      <c r="T82" s="467"/>
      <c r="U82" s="468"/>
      <c r="V82" s="526" t="e">
        <f>AVERAGE(V78:AB78)</f>
        <v>#DIV/0!</v>
      </c>
      <c r="W82" s="527"/>
      <c r="X82" s="527"/>
      <c r="Y82" s="527"/>
      <c r="Z82" s="527"/>
      <c r="AA82" s="527"/>
      <c r="AK82" s="145"/>
      <c r="AO82" s="115"/>
      <c r="BX82" s="115">
        <v>80</v>
      </c>
    </row>
    <row r="83" spans="3:76">
      <c r="D83" s="149" t="s">
        <v>62</v>
      </c>
      <c r="E83" s="147"/>
      <c r="F83" s="147"/>
      <c r="G83" s="147"/>
      <c r="H83" s="147"/>
      <c r="I83" s="147"/>
      <c r="J83" s="147"/>
      <c r="K83" s="147"/>
      <c r="L83" s="531" t="e">
        <f>AVERAGE(L79:O79)</f>
        <v>#DIV/0!</v>
      </c>
      <c r="M83" s="532"/>
      <c r="N83" s="532"/>
      <c r="O83" s="532"/>
      <c r="P83" s="532"/>
      <c r="Q83" s="533" t="e">
        <f>AVERAGE(Q79:U79)</f>
        <v>#DIV/0!</v>
      </c>
      <c r="R83" s="470"/>
      <c r="S83" s="470"/>
      <c r="T83" s="470"/>
      <c r="U83" s="471"/>
      <c r="V83" s="531" t="e">
        <f>AVERAGE(V79:AB79)</f>
        <v>#DIV/0!</v>
      </c>
      <c r="W83" s="532"/>
      <c r="X83" s="532"/>
      <c r="Y83" s="532"/>
      <c r="Z83" s="532"/>
      <c r="AA83" s="532"/>
      <c r="AK83" s="145"/>
      <c r="AO83" s="115"/>
      <c r="BK83" s="16"/>
    </row>
    <row r="84" spans="3:76" ht="20.25" customHeight="1">
      <c r="K84" s="116"/>
      <c r="AO84" s="115"/>
      <c r="BK84" s="16"/>
    </row>
    <row r="85" spans="3:76">
      <c r="I85" s="19"/>
      <c r="J85" s="19"/>
      <c r="K85" s="116"/>
      <c r="L85" s="116"/>
      <c r="M85" s="116"/>
      <c r="N85" s="116"/>
      <c r="O85" s="116"/>
      <c r="AO85" s="115"/>
      <c r="BK85" s="16"/>
    </row>
    <row r="86" spans="3:76">
      <c r="K86" s="116"/>
      <c r="L86" s="116"/>
      <c r="M86" s="116"/>
      <c r="N86" s="116"/>
      <c r="O86" s="116"/>
      <c r="AM86" s="13"/>
      <c r="AN86" s="13"/>
      <c r="AO86" s="115"/>
      <c r="AR86" s="13"/>
      <c r="AS86" s="13"/>
      <c r="AT86" s="13"/>
      <c r="AU86" s="13"/>
    </row>
    <row r="87" spans="3:76">
      <c r="K87" s="116"/>
      <c r="L87" s="116"/>
      <c r="M87" s="116"/>
      <c r="N87" s="116"/>
      <c r="O87" s="116"/>
      <c r="X87" s="138"/>
      <c r="Y87" s="138"/>
      <c r="AO87" s="115"/>
    </row>
    <row r="88" spans="3:76">
      <c r="K88" s="116"/>
      <c r="L88" s="116"/>
      <c r="M88" s="116"/>
      <c r="N88" s="116"/>
      <c r="O88" s="116"/>
      <c r="X88" s="530"/>
      <c r="Y88" s="530"/>
      <c r="AO88" s="115"/>
    </row>
    <row r="89" spans="3:76">
      <c r="I89" s="19"/>
      <c r="J89" s="19"/>
      <c r="K89" s="116"/>
      <c r="L89" s="116"/>
      <c r="M89" s="116"/>
      <c r="N89" s="116"/>
      <c r="O89" s="116"/>
      <c r="X89" s="530"/>
      <c r="Y89" s="530"/>
      <c r="AO89" s="115"/>
    </row>
    <row r="90" spans="3:76">
      <c r="X90" s="529"/>
      <c r="Y90" s="529"/>
      <c r="AO90" s="115"/>
    </row>
    <row r="91" spans="3:76">
      <c r="X91" s="530"/>
      <c r="Y91" s="530"/>
      <c r="AO91" s="115"/>
    </row>
    <row r="92" spans="3:76">
      <c r="X92" s="529"/>
      <c r="Y92" s="529"/>
      <c r="AO92" s="115"/>
    </row>
    <row r="93" spans="3:76">
      <c r="X93" s="138"/>
      <c r="Y93" s="138"/>
      <c r="AO93" s="115"/>
    </row>
    <row r="94" spans="3:76">
      <c r="X94" s="138"/>
      <c r="Y94" s="138"/>
      <c r="AO94" s="115"/>
    </row>
    <row r="95" spans="3:76">
      <c r="X95" s="138"/>
      <c r="Y95" s="138"/>
      <c r="AO95" s="115"/>
    </row>
    <row r="96" spans="3:76">
      <c r="X96" s="138"/>
      <c r="Y96" s="138"/>
      <c r="AO96" s="115"/>
    </row>
    <row r="97" spans="24:61">
      <c r="X97" s="138"/>
      <c r="Y97" s="138"/>
      <c r="AO97" s="115"/>
    </row>
    <row r="98" spans="24:61">
      <c r="AO98" s="115"/>
      <c r="BI98" s="13"/>
    </row>
    <row r="99" spans="24:61">
      <c r="AO99" s="115"/>
    </row>
    <row r="100" spans="24:61">
      <c r="AO100" s="115"/>
    </row>
    <row r="101" spans="24:61">
      <c r="AO101" s="115"/>
    </row>
    <row r="102" spans="24:61">
      <c r="AO102" s="115"/>
    </row>
    <row r="103" spans="24:61">
      <c r="AO103" s="115"/>
    </row>
    <row r="104" spans="24:61">
      <c r="AO104" s="115"/>
    </row>
    <row r="105" spans="24:61">
      <c r="AO105" s="115"/>
    </row>
    <row r="106" spans="24:61">
      <c r="AO106" s="115"/>
    </row>
    <row r="107" spans="24:61">
      <c r="AO107" s="115"/>
    </row>
  </sheetData>
  <sheetProtection algorithmName="SHA-512" hashValue="wziE3LuqyETDL8JBOPm7jSL5W4BYPi82IiwH5f6hunfw2HmYilROppB8GEsBP3r1OJkiM7jCpZ8QQrllfa2HfQ==" saltValue="nvR/jAmeLvnGL4SEuKqiiQ==" spinCount="100000" sheet="1" objects="1" scenarios="1"/>
  <dataConsolidate/>
  <mergeCells count="96">
    <mergeCell ref="B6:AJ6"/>
    <mergeCell ref="AH33:AJ33"/>
    <mergeCell ref="AI25:AJ25"/>
    <mergeCell ref="AI26:AJ26"/>
    <mergeCell ref="AI27:AJ27"/>
    <mergeCell ref="K26:M26"/>
    <mergeCell ref="K27:M27"/>
    <mergeCell ref="K28:M28"/>
    <mergeCell ref="AD12:AI12"/>
    <mergeCell ref="F7:P7"/>
    <mergeCell ref="G8:AI8"/>
    <mergeCell ref="AF7:AI7"/>
    <mergeCell ref="I12:R12"/>
    <mergeCell ref="I14:R14"/>
    <mergeCell ref="B10:AJ10"/>
    <mergeCell ref="AD14:AI14"/>
    <mergeCell ref="AO50:AO51"/>
    <mergeCell ref="AP50:AP51"/>
    <mergeCell ref="AQ50:AQ51"/>
    <mergeCell ref="AA18:AF18"/>
    <mergeCell ref="U37:W37"/>
    <mergeCell ref="U39:W39"/>
    <mergeCell ref="X26:Z26"/>
    <mergeCell ref="X27:Z27"/>
    <mergeCell ref="B43:AJ43"/>
    <mergeCell ref="X25:Z25"/>
    <mergeCell ref="K25:M25"/>
    <mergeCell ref="AA21:AF21"/>
    <mergeCell ref="AG39:AH39"/>
    <mergeCell ref="AI31:AJ31"/>
    <mergeCell ref="K29:M29"/>
    <mergeCell ref="K30:M30"/>
    <mergeCell ref="AR50:AR51"/>
    <mergeCell ref="U20:Z20"/>
    <mergeCell ref="B35:AJ35"/>
    <mergeCell ref="AG46:AI46"/>
    <mergeCell ref="N41:Y41"/>
    <mergeCell ref="Z41:AI41"/>
    <mergeCell ref="X29:Z29"/>
    <mergeCell ref="C41:M41"/>
    <mergeCell ref="X31:Z31"/>
    <mergeCell ref="X30:Z30"/>
    <mergeCell ref="AI28:AJ28"/>
    <mergeCell ref="AI29:AJ29"/>
    <mergeCell ref="AG45:AI45"/>
    <mergeCell ref="AG47:AI47"/>
    <mergeCell ref="B48:AJ48"/>
    <mergeCell ref="AI30:AJ30"/>
    <mergeCell ref="L82:P82"/>
    <mergeCell ref="X92:Y92"/>
    <mergeCell ref="X88:Y88"/>
    <mergeCell ref="X89:Y89"/>
    <mergeCell ref="X90:Y90"/>
    <mergeCell ref="L83:P83"/>
    <mergeCell ref="V83:AA83"/>
    <mergeCell ref="Q83:U83"/>
    <mergeCell ref="X91:Y91"/>
    <mergeCell ref="V81:AA81"/>
    <mergeCell ref="V82:AA82"/>
    <mergeCell ref="Q81:U81"/>
    <mergeCell ref="Q82:U82"/>
    <mergeCell ref="V78:Y78"/>
    <mergeCell ref="J39:L39"/>
    <mergeCell ref="R71:S71"/>
    <mergeCell ref="V71:AE71"/>
    <mergeCell ref="J37:L37"/>
    <mergeCell ref="T79:U79"/>
    <mergeCell ref="B75:AJ75"/>
    <mergeCell ref="V79:Y79"/>
    <mergeCell ref="L71:M71"/>
    <mergeCell ref="N71:Q71"/>
    <mergeCell ref="N78:P78"/>
    <mergeCell ref="N79:P79"/>
    <mergeCell ref="AD16:AI16"/>
    <mergeCell ref="Z79:AA79"/>
    <mergeCell ref="X28:Z28"/>
    <mergeCell ref="AF71:AG71"/>
    <mergeCell ref="AG73:AI73"/>
    <mergeCell ref="AH71:AI71"/>
    <mergeCell ref="AG37:AH37"/>
    <mergeCell ref="P3:AJ3"/>
    <mergeCell ref="Z77:AA77"/>
    <mergeCell ref="Z78:AA78"/>
    <mergeCell ref="L81:P81"/>
    <mergeCell ref="U7:AA7"/>
    <mergeCell ref="T77:U77"/>
    <mergeCell ref="T78:U78"/>
    <mergeCell ref="Q78:S78"/>
    <mergeCell ref="Q79:S79"/>
    <mergeCell ref="N77:P77"/>
    <mergeCell ref="Q77:S77"/>
    <mergeCell ref="L77:M77"/>
    <mergeCell ref="L78:M78"/>
    <mergeCell ref="L79:M79"/>
    <mergeCell ref="V77:Y77"/>
    <mergeCell ref="B23:AJ23"/>
  </mergeCells>
  <conditionalFormatting sqref="C41:M41">
    <cfRule type="colorScale" priority="1">
      <colorScale>
        <cfvo type="min"/>
        <cfvo type="max"/>
        <color rgb="FFFF7128"/>
        <color rgb="FFFFEF9C"/>
      </colorScale>
    </cfRule>
  </conditionalFormatting>
  <dataValidations count="4">
    <dataValidation type="list" allowBlank="1" showInputMessage="1" showErrorMessage="1" sqref="Q55:Q56 G55:G59 Q51:Q53 Q61:Q62 W68:W69 AA62 L52:M65 AI60 E61:E68 L68:M69 Q58:Q59 AF62:AF64 Q64 AF60 U68:U69 AF51:AF56 AI51:AI56 AI58 AF58 AI63:AI64 AI66 Z52:AA54 U52:V54 Z56:AA59 U56:V59 Z61:AA61 V64:V66 AA64:AA67 Z67 V61:V62 U61 H52:H59 E55:E59" xr:uid="{00000000-0002-0000-0200-000000000000}">
      <formula1>nombre</formula1>
    </dataValidation>
    <dataValidation type="whole" operator="greaterThanOrEqual" allowBlank="1" showInputMessage="1" showErrorMessage="1" sqref="U20" xr:uid="{00000000-0002-0000-0200-000001000000}">
      <formula1>0</formula1>
    </dataValidation>
    <dataValidation type="decimal" operator="greaterThan" allowBlank="1" showInputMessage="1" showErrorMessage="1" sqref="AD12 AD16 AD14" xr:uid="{00000000-0002-0000-0200-000002000000}">
      <formula1>0</formula1>
    </dataValidation>
    <dataValidation type="list" allowBlank="1" showInputMessage="1" showErrorMessage="1" sqref="I14" xr:uid="{00000000-0002-0000-0200-000003000000}">
      <formula1>$BU$14:$BU$18</formula1>
    </dataValidation>
  </dataValidations>
  <pageMargins left="0.23622047244094491" right="0.23622047244094491" top="0.74803149606299213" bottom="0.74803149606299213" header="0.31496062992125984" footer="0.31496062992125984"/>
  <pageSetup paperSize="9" scale="80" fitToHeight="2" orientation="portrait" r:id="rId1"/>
  <rowBreaks count="1" manualBreakCount="1">
    <brk id="74" min="1" max="3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4000000}">
          <x14:formula1>
            <xm:f>Calcul!$AA$7:$AA$11</xm:f>
          </x14:formula1>
          <xm:sqref>I12</xm:sqref>
        </x14:dataValidation>
        <x14:dataValidation type="list" allowBlank="1" showInputMessage="1" showErrorMessage="1" xr:uid="{00000000-0002-0000-0200-000005000000}">
          <x14:formula1>
            <xm:f>Feuil1!$A$3:$A$18</xm:f>
          </x14:formula1>
          <xm:sqref>P3:AJ3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dimension ref="A1:C18"/>
  <sheetViews>
    <sheetView workbookViewId="0">
      <selection activeCell="B20" sqref="B20"/>
    </sheetView>
  </sheetViews>
  <sheetFormatPr baseColWidth="10" defaultRowHeight="13.2"/>
  <cols>
    <col min="1" max="1" width="31.6640625" customWidth="1"/>
    <col min="2" max="2" width="25.6640625" customWidth="1"/>
    <col min="3" max="3" width="34.5546875" customWidth="1"/>
  </cols>
  <sheetData>
    <row r="1" spans="1:3" ht="13.8">
      <c r="A1" s="576" t="s">
        <v>291</v>
      </c>
      <c r="B1" s="576"/>
      <c r="C1" s="576"/>
    </row>
    <row r="2" spans="1:3">
      <c r="A2" s="237" t="s">
        <v>292</v>
      </c>
      <c r="B2" s="237" t="s">
        <v>293</v>
      </c>
      <c r="C2" s="237" t="s">
        <v>294</v>
      </c>
    </row>
    <row r="3" spans="1:3" ht="13.8">
      <c r="A3" s="238" t="s">
        <v>295</v>
      </c>
      <c r="B3" s="239" t="s">
        <v>296</v>
      </c>
      <c r="C3" s="240" t="s">
        <v>297</v>
      </c>
    </row>
    <row r="4" spans="1:3" ht="13.8">
      <c r="A4" s="238" t="s">
        <v>298</v>
      </c>
      <c r="B4" s="239" t="s">
        <v>299</v>
      </c>
      <c r="C4" s="241" t="s">
        <v>300</v>
      </c>
    </row>
    <row r="5" spans="1:3" ht="13.8">
      <c r="A5" s="238" t="s">
        <v>391</v>
      </c>
      <c r="B5" s="239" t="s">
        <v>392</v>
      </c>
      <c r="C5" s="241" t="s">
        <v>393</v>
      </c>
    </row>
    <row r="6" spans="1:3" ht="13.8">
      <c r="A6" s="238" t="s">
        <v>302</v>
      </c>
      <c r="B6" s="239" t="s">
        <v>303</v>
      </c>
      <c r="C6" s="240" t="s">
        <v>304</v>
      </c>
    </row>
    <row r="7" spans="1:3" ht="13.8">
      <c r="A7" s="242" t="s">
        <v>305</v>
      </c>
      <c r="B7" s="238" t="s">
        <v>306</v>
      </c>
      <c r="C7" s="240" t="s">
        <v>307</v>
      </c>
    </row>
    <row r="8" spans="1:3" ht="13.8">
      <c r="A8" s="242" t="s">
        <v>388</v>
      </c>
      <c r="B8" s="239" t="s">
        <v>389</v>
      </c>
      <c r="C8" s="241" t="s">
        <v>390</v>
      </c>
    </row>
    <row r="9" spans="1:3" ht="13.8">
      <c r="A9" s="242" t="s">
        <v>308</v>
      </c>
      <c r="B9" s="238" t="s">
        <v>309</v>
      </c>
      <c r="C9" s="243" t="s">
        <v>310</v>
      </c>
    </row>
    <row r="10" spans="1:3" ht="13.8">
      <c r="A10" s="244" t="s">
        <v>311</v>
      </c>
      <c r="B10" s="239" t="s">
        <v>312</v>
      </c>
      <c r="C10" s="240" t="s">
        <v>313</v>
      </c>
    </row>
    <row r="11" spans="1:3" ht="13.8">
      <c r="A11" s="245" t="s">
        <v>314</v>
      </c>
      <c r="B11" s="246" t="s">
        <v>315</v>
      </c>
      <c r="C11" s="247" t="s">
        <v>316</v>
      </c>
    </row>
    <row r="12" spans="1:3" ht="13.8">
      <c r="A12" s="238" t="s">
        <v>317</v>
      </c>
      <c r="B12" s="239" t="s">
        <v>318</v>
      </c>
      <c r="C12" s="240" t="s">
        <v>319</v>
      </c>
    </row>
    <row r="13" spans="1:3" ht="13.8">
      <c r="A13" s="238" t="s">
        <v>386</v>
      </c>
      <c r="B13" s="239" t="s">
        <v>329</v>
      </c>
      <c r="C13" s="241" t="s">
        <v>387</v>
      </c>
    </row>
    <row r="14" spans="1:3" ht="13.8">
      <c r="A14" s="248" t="s">
        <v>320</v>
      </c>
      <c r="B14" s="249" t="s">
        <v>321</v>
      </c>
      <c r="C14" s="250" t="s">
        <v>322</v>
      </c>
    </row>
    <row r="15" spans="1:3" ht="13.8">
      <c r="A15" s="248" t="s">
        <v>323</v>
      </c>
      <c r="B15" s="249" t="s">
        <v>324</v>
      </c>
      <c r="C15" s="251" t="s">
        <v>325</v>
      </c>
    </row>
    <row r="16" spans="1:3" ht="13.8">
      <c r="A16" s="242" t="s">
        <v>326</v>
      </c>
      <c r="B16" s="238" t="s">
        <v>327</v>
      </c>
      <c r="C16" s="253" t="s">
        <v>328</v>
      </c>
    </row>
    <row r="17" spans="1:3" ht="13.8">
      <c r="A17" s="238" t="s">
        <v>394</v>
      </c>
      <c r="B17" s="239" t="s">
        <v>301</v>
      </c>
      <c r="C17" s="241" t="s">
        <v>395</v>
      </c>
    </row>
    <row r="18" spans="1:3" ht="13.8">
      <c r="A18" s="238" t="s">
        <v>396</v>
      </c>
      <c r="B18" s="238" t="s">
        <v>374</v>
      </c>
      <c r="C18" s="252" t="s">
        <v>375</v>
      </c>
    </row>
  </sheetData>
  <mergeCells count="1">
    <mergeCell ref="A1:C1"/>
  </mergeCells>
  <hyperlinks>
    <hyperlink ref="C10" r:id="rId1" xr:uid="{00000000-0004-0000-0300-000000000000}"/>
    <hyperlink ref="C15" r:id="rId2" xr:uid="{00000000-0004-0000-0300-000001000000}"/>
    <hyperlink ref="C12" r:id="rId3" display="ssakoun@hoyez.com" xr:uid="{00000000-0004-0000-0300-000002000000}"/>
    <hyperlink ref="C16" r:id="rId4" display="ssonnier@my-openspace.com" xr:uid="{00000000-0004-0000-0300-000003000000}"/>
    <hyperlink ref="C9" r:id="rId5" display="mailto:ecatherine@my-openspace.com" xr:uid="{00000000-0004-0000-0300-000004000000}"/>
    <hyperlink ref="C6" r:id="rId6" display="csailly@my-openspace.com" xr:uid="{00000000-0004-0000-0300-000005000000}"/>
    <hyperlink ref="C4" r:id="rId7" xr:uid="{00000000-0004-0000-0300-000006000000}"/>
    <hyperlink ref="C18" r:id="rId8" xr:uid="{00000000-0004-0000-0300-000007000000}"/>
    <hyperlink ref="C13" r:id="rId9" xr:uid="{00000000-0004-0000-0300-000008000000}"/>
    <hyperlink ref="C8" r:id="rId10" xr:uid="{00000000-0004-0000-0300-000009000000}"/>
    <hyperlink ref="C5" r:id="rId11" xr:uid="{00000000-0004-0000-0300-00000A000000}"/>
    <hyperlink ref="C17" r:id="rId12" xr:uid="{00000000-0004-0000-0300-00000B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dimension ref="C3:O202"/>
  <sheetViews>
    <sheetView zoomScale="85" zoomScaleNormal="85" workbookViewId="0">
      <selection activeCell="C207" sqref="C207"/>
    </sheetView>
  </sheetViews>
  <sheetFormatPr baseColWidth="10" defaultColWidth="11.44140625" defaultRowHeight="13.2"/>
  <cols>
    <col min="1" max="16384" width="11.44140625" style="89"/>
  </cols>
  <sheetData>
    <row r="3" spans="3:15" ht="14.4">
      <c r="C3" s="88">
        <v>0</v>
      </c>
      <c r="F3" s="90"/>
      <c r="G3" s="90"/>
      <c r="H3" s="90"/>
      <c r="I3" s="90"/>
      <c r="J3" s="90"/>
      <c r="K3" s="90"/>
      <c r="L3" s="90"/>
      <c r="M3" s="90"/>
      <c r="N3" s="90"/>
      <c r="O3" s="90"/>
    </row>
    <row r="4" spans="3:15" ht="13.8">
      <c r="C4" s="90">
        <v>1</v>
      </c>
      <c r="F4" s="90"/>
      <c r="G4" s="90"/>
      <c r="H4" s="90"/>
      <c r="I4" s="90"/>
      <c r="J4" s="90"/>
      <c r="K4" s="90"/>
      <c r="L4" s="90"/>
      <c r="M4" s="90"/>
      <c r="N4" s="90"/>
      <c r="O4" s="90"/>
    </row>
    <row r="5" spans="3:15" ht="13.8">
      <c r="C5" s="90">
        <v>2</v>
      </c>
      <c r="F5" s="90"/>
      <c r="G5" s="90"/>
      <c r="H5" s="90"/>
      <c r="I5" s="90"/>
      <c r="J5" s="90"/>
      <c r="K5" s="90"/>
      <c r="L5" s="90"/>
      <c r="M5" s="90"/>
      <c r="N5" s="90"/>
      <c r="O5" s="90"/>
    </row>
    <row r="6" spans="3:15" ht="13.8">
      <c r="C6" s="90">
        <v>3</v>
      </c>
      <c r="F6" s="90"/>
      <c r="G6" s="90"/>
      <c r="H6" s="90"/>
      <c r="I6" s="90"/>
      <c r="J6" s="90"/>
      <c r="K6" s="90"/>
      <c r="L6" s="90"/>
      <c r="M6" s="90"/>
      <c r="N6" s="90"/>
      <c r="O6" s="90"/>
    </row>
    <row r="7" spans="3:15" ht="13.8">
      <c r="C7" s="90">
        <v>4</v>
      </c>
      <c r="F7" s="90"/>
      <c r="G7" s="90"/>
      <c r="H7" s="90"/>
      <c r="I7" s="90"/>
      <c r="J7" s="90"/>
      <c r="K7" s="90"/>
      <c r="L7" s="90"/>
      <c r="M7" s="90"/>
      <c r="N7" s="90"/>
      <c r="O7" s="90"/>
    </row>
    <row r="8" spans="3:15" ht="13.8">
      <c r="C8" s="90">
        <v>5</v>
      </c>
      <c r="F8" s="90"/>
      <c r="G8" s="90"/>
      <c r="H8" s="90"/>
      <c r="I8" s="91">
        <f>'Notice de calcul'!L77</f>
        <v>125</v>
      </c>
      <c r="J8" s="91">
        <f>'Notice de calcul'!N77</f>
        <v>250</v>
      </c>
      <c r="K8" s="91">
        <f>'Notice de calcul'!Q77</f>
        <v>500</v>
      </c>
      <c r="L8" s="91">
        <f>'Notice de calcul'!T77</f>
        <v>1000</v>
      </c>
      <c r="M8" s="91">
        <f>'Notice de calcul'!V77</f>
        <v>2000</v>
      </c>
      <c r="N8" s="91">
        <f>'Notice de calcul'!Z77</f>
        <v>4000</v>
      </c>
      <c r="O8" s="90"/>
    </row>
    <row r="9" spans="3:15" ht="13.8">
      <c r="C9" s="90">
        <v>6</v>
      </c>
      <c r="F9" s="90"/>
      <c r="G9" s="92"/>
      <c r="H9" s="93" t="s">
        <v>61</v>
      </c>
      <c r="I9" s="94" t="e">
        <f>'Notice de calcul'!L78</f>
        <v>#DIV/0!</v>
      </c>
      <c r="J9" s="94" t="e">
        <f>'Notice de calcul'!N78</f>
        <v>#DIV/0!</v>
      </c>
      <c r="K9" s="94" t="e">
        <f>'Notice de calcul'!Q78</f>
        <v>#DIV/0!</v>
      </c>
      <c r="L9" s="94" t="e">
        <f>'Notice de calcul'!T78</f>
        <v>#DIV/0!</v>
      </c>
      <c r="M9" s="94" t="e">
        <f>'Notice de calcul'!V78</f>
        <v>#DIV/0!</v>
      </c>
      <c r="N9" s="94" t="e">
        <f>'Notice de calcul'!Z78</f>
        <v>#DIV/0!</v>
      </c>
      <c r="O9" s="90"/>
    </row>
    <row r="10" spans="3:15" ht="13.8">
      <c r="C10" s="90">
        <v>7</v>
      </c>
      <c r="F10" s="90"/>
      <c r="G10" s="95"/>
      <c r="H10" s="96" t="s">
        <v>62</v>
      </c>
      <c r="I10" s="94" t="e">
        <f>'Notice de calcul'!L79</f>
        <v>#DIV/0!</v>
      </c>
      <c r="J10" s="94" t="e">
        <f>'Notice de calcul'!N79</f>
        <v>#DIV/0!</v>
      </c>
      <c r="K10" s="94" t="e">
        <f>'Notice de calcul'!Q79</f>
        <v>#DIV/0!</v>
      </c>
      <c r="L10" s="94" t="e">
        <f>'Notice de calcul'!T79</f>
        <v>#DIV/0!</v>
      </c>
      <c r="M10" s="94" t="e">
        <f>'Notice de calcul'!V79</f>
        <v>#DIV/0!</v>
      </c>
      <c r="N10" s="94" t="e">
        <f>'Notice de calcul'!Z79</f>
        <v>#DIV/0!</v>
      </c>
      <c r="O10" s="90"/>
    </row>
    <row r="11" spans="3:15" ht="13.8">
      <c r="C11" s="90">
        <v>8</v>
      </c>
      <c r="F11" s="90"/>
      <c r="G11" s="90"/>
      <c r="H11" s="90"/>
      <c r="I11" s="90"/>
      <c r="J11" s="90"/>
      <c r="K11" s="90"/>
      <c r="L11" s="90"/>
      <c r="M11" s="90"/>
      <c r="N11" s="90"/>
      <c r="O11" s="90"/>
    </row>
    <row r="12" spans="3:15" ht="13.8">
      <c r="C12" s="90">
        <v>9</v>
      </c>
      <c r="F12" s="90"/>
      <c r="G12" s="90"/>
      <c r="H12" s="90"/>
      <c r="I12" s="90"/>
      <c r="J12" s="90"/>
      <c r="K12" s="90"/>
      <c r="L12" s="90"/>
      <c r="M12" s="90"/>
      <c r="N12" s="90"/>
      <c r="O12" s="90"/>
    </row>
    <row r="13" spans="3:15" ht="13.8">
      <c r="C13" s="90">
        <v>10</v>
      </c>
      <c r="F13" s="90"/>
      <c r="G13" s="90"/>
      <c r="H13" s="90"/>
      <c r="I13" s="90"/>
      <c r="J13" s="90"/>
      <c r="K13" s="90"/>
      <c r="L13" s="90"/>
      <c r="M13" s="90"/>
      <c r="N13" s="90"/>
      <c r="O13" s="90"/>
    </row>
    <row r="14" spans="3:15" ht="13.8">
      <c r="C14" s="90">
        <v>11</v>
      </c>
      <c r="F14" s="90"/>
      <c r="G14" s="90"/>
      <c r="H14" s="90"/>
      <c r="I14" s="90"/>
      <c r="J14" s="90"/>
      <c r="K14" s="90"/>
      <c r="L14" s="90"/>
      <c r="M14" s="90"/>
      <c r="N14" s="90"/>
      <c r="O14" s="90"/>
    </row>
    <row r="15" spans="3:15" ht="13.8">
      <c r="C15" s="90">
        <v>12</v>
      </c>
      <c r="F15" s="90"/>
      <c r="G15" s="90"/>
      <c r="H15" s="90"/>
      <c r="I15" s="90"/>
      <c r="J15" s="90"/>
      <c r="K15" s="90"/>
      <c r="L15" s="90"/>
      <c r="M15" s="90"/>
      <c r="N15" s="90"/>
      <c r="O15" s="90"/>
    </row>
    <row r="16" spans="3:15" ht="13.8">
      <c r="C16" s="90">
        <v>13</v>
      </c>
      <c r="F16" s="90"/>
      <c r="G16" s="90"/>
      <c r="H16" s="90"/>
      <c r="I16" s="97" t="s">
        <v>113</v>
      </c>
      <c r="J16" s="90">
        <f>+SUM('Notice de calcul'!M55:M65)+SUM('Notice de calcul'!L55:L65)</f>
        <v>0</v>
      </c>
      <c r="K16" s="90"/>
      <c r="L16" s="90"/>
      <c r="M16" s="90"/>
      <c r="N16" s="90"/>
      <c r="O16" s="90"/>
    </row>
    <row r="17" spans="3:3" ht="13.8">
      <c r="C17" s="90">
        <v>14</v>
      </c>
    </row>
    <row r="18" spans="3:3" ht="13.8">
      <c r="C18" s="90">
        <v>15</v>
      </c>
    </row>
    <row r="19" spans="3:3" ht="13.8">
      <c r="C19" s="90">
        <v>16</v>
      </c>
    </row>
    <row r="20" spans="3:3" ht="13.8">
      <c r="C20" s="90">
        <v>17</v>
      </c>
    </row>
    <row r="21" spans="3:3" ht="13.8">
      <c r="C21" s="90">
        <v>18</v>
      </c>
    </row>
    <row r="22" spans="3:3" ht="13.8">
      <c r="C22" s="90">
        <v>19</v>
      </c>
    </row>
    <row r="23" spans="3:3" ht="13.8">
      <c r="C23" s="90">
        <v>20</v>
      </c>
    </row>
    <row r="24" spans="3:3" ht="13.8">
      <c r="C24" s="90">
        <v>21</v>
      </c>
    </row>
    <row r="25" spans="3:3" ht="13.8">
      <c r="C25" s="90">
        <v>22</v>
      </c>
    </row>
    <row r="26" spans="3:3" ht="13.8">
      <c r="C26" s="90">
        <v>23</v>
      </c>
    </row>
    <row r="27" spans="3:3" ht="13.8">
      <c r="C27" s="90">
        <v>24</v>
      </c>
    </row>
    <row r="28" spans="3:3" ht="13.8">
      <c r="C28" s="90">
        <v>25</v>
      </c>
    </row>
    <row r="29" spans="3:3" ht="13.8">
      <c r="C29" s="90">
        <v>26</v>
      </c>
    </row>
    <row r="30" spans="3:3" ht="13.8">
      <c r="C30" s="90">
        <v>27</v>
      </c>
    </row>
    <row r="31" spans="3:3" ht="13.8">
      <c r="C31" s="90">
        <v>28</v>
      </c>
    </row>
    <row r="32" spans="3:3" ht="13.8">
      <c r="C32" s="90">
        <v>29</v>
      </c>
    </row>
    <row r="33" spans="3:3" ht="13.8">
      <c r="C33" s="90">
        <v>30</v>
      </c>
    </row>
    <row r="34" spans="3:3" ht="13.8">
      <c r="C34" s="90">
        <v>31</v>
      </c>
    </row>
    <row r="35" spans="3:3" ht="13.8">
      <c r="C35" s="90">
        <v>32</v>
      </c>
    </row>
    <row r="36" spans="3:3" ht="13.8">
      <c r="C36" s="90">
        <v>33</v>
      </c>
    </row>
    <row r="37" spans="3:3" ht="13.8">
      <c r="C37" s="90">
        <v>34</v>
      </c>
    </row>
    <row r="38" spans="3:3" ht="13.8">
      <c r="C38" s="90">
        <v>35</v>
      </c>
    </row>
    <row r="39" spans="3:3" ht="13.8">
      <c r="C39" s="90">
        <v>36</v>
      </c>
    </row>
    <row r="40" spans="3:3" ht="13.8">
      <c r="C40" s="90">
        <v>38</v>
      </c>
    </row>
    <row r="41" spans="3:3" ht="13.8">
      <c r="C41" s="90">
        <v>39</v>
      </c>
    </row>
    <row r="42" spans="3:3" ht="13.8">
      <c r="C42" s="90">
        <v>40</v>
      </c>
    </row>
    <row r="43" spans="3:3" ht="13.8">
      <c r="C43" s="90">
        <v>41</v>
      </c>
    </row>
    <row r="44" spans="3:3" ht="13.8">
      <c r="C44" s="90">
        <v>42</v>
      </c>
    </row>
    <row r="45" spans="3:3" ht="13.8">
      <c r="C45" s="90">
        <v>43</v>
      </c>
    </row>
    <row r="46" spans="3:3" ht="13.8">
      <c r="C46" s="90">
        <v>44</v>
      </c>
    </row>
    <row r="47" spans="3:3" ht="13.8">
      <c r="C47" s="90">
        <v>45</v>
      </c>
    </row>
    <row r="48" spans="3:3" ht="13.8">
      <c r="C48" s="90">
        <v>46</v>
      </c>
    </row>
    <row r="49" spans="3:3" ht="13.8">
      <c r="C49" s="90">
        <v>47</v>
      </c>
    </row>
    <row r="50" spans="3:3" ht="13.8">
      <c r="C50" s="90">
        <v>48</v>
      </c>
    </row>
    <row r="51" spans="3:3" ht="13.8">
      <c r="C51" s="90">
        <v>49</v>
      </c>
    </row>
    <row r="52" spans="3:3" ht="13.8">
      <c r="C52" s="90">
        <v>50</v>
      </c>
    </row>
    <row r="53" spans="3:3" ht="13.8">
      <c r="C53" s="90">
        <v>51</v>
      </c>
    </row>
    <row r="54" spans="3:3" ht="13.8">
      <c r="C54" s="90">
        <v>52</v>
      </c>
    </row>
    <row r="55" spans="3:3" ht="13.8">
      <c r="C55" s="90">
        <v>53</v>
      </c>
    </row>
    <row r="56" spans="3:3" ht="13.8">
      <c r="C56" s="90">
        <v>54</v>
      </c>
    </row>
    <row r="57" spans="3:3" ht="13.8">
      <c r="C57" s="90">
        <v>55</v>
      </c>
    </row>
    <row r="58" spans="3:3" ht="13.8">
      <c r="C58" s="90">
        <v>56</v>
      </c>
    </row>
    <row r="59" spans="3:3" ht="13.8">
      <c r="C59" s="90">
        <v>57</v>
      </c>
    </row>
    <row r="60" spans="3:3" ht="13.8">
      <c r="C60" s="90">
        <v>58</v>
      </c>
    </row>
    <row r="61" spans="3:3" ht="13.8">
      <c r="C61" s="90">
        <v>59</v>
      </c>
    </row>
    <row r="62" spans="3:3" ht="13.8">
      <c r="C62" s="90">
        <v>60</v>
      </c>
    </row>
    <row r="63" spans="3:3" ht="13.8">
      <c r="C63" s="90">
        <v>61</v>
      </c>
    </row>
    <row r="64" spans="3:3" ht="13.8">
      <c r="C64" s="90">
        <v>62</v>
      </c>
    </row>
    <row r="65" spans="3:3" ht="13.8">
      <c r="C65" s="90">
        <v>63</v>
      </c>
    </row>
    <row r="66" spans="3:3" ht="13.8">
      <c r="C66" s="90">
        <v>64</v>
      </c>
    </row>
    <row r="67" spans="3:3" ht="13.8">
      <c r="C67" s="90">
        <v>65</v>
      </c>
    </row>
    <row r="68" spans="3:3" ht="13.8">
      <c r="C68" s="90">
        <v>66</v>
      </c>
    </row>
    <row r="69" spans="3:3" ht="13.8">
      <c r="C69" s="90">
        <v>67</v>
      </c>
    </row>
    <row r="70" spans="3:3" ht="13.8">
      <c r="C70" s="90">
        <v>68</v>
      </c>
    </row>
    <row r="71" spans="3:3" ht="13.8">
      <c r="C71" s="90">
        <v>69</v>
      </c>
    </row>
    <row r="72" spans="3:3" ht="13.8">
      <c r="C72" s="90">
        <v>70</v>
      </c>
    </row>
    <row r="73" spans="3:3" ht="13.8">
      <c r="C73" s="90">
        <v>71</v>
      </c>
    </row>
    <row r="74" spans="3:3" ht="13.8">
      <c r="C74" s="90">
        <v>72</v>
      </c>
    </row>
    <row r="75" spans="3:3" ht="13.8">
      <c r="C75" s="90">
        <v>73</v>
      </c>
    </row>
    <row r="76" spans="3:3" ht="13.8">
      <c r="C76" s="90">
        <v>74</v>
      </c>
    </row>
    <row r="77" spans="3:3" ht="13.8">
      <c r="C77" s="90">
        <v>75</v>
      </c>
    </row>
    <row r="78" spans="3:3" ht="13.8">
      <c r="C78" s="90">
        <v>76</v>
      </c>
    </row>
    <row r="79" spans="3:3" ht="13.8">
      <c r="C79" s="90">
        <v>77</v>
      </c>
    </row>
    <row r="80" spans="3:3" ht="13.8">
      <c r="C80" s="90">
        <v>78</v>
      </c>
    </row>
    <row r="81" spans="3:3" ht="13.8">
      <c r="C81" s="90">
        <v>79</v>
      </c>
    </row>
    <row r="82" spans="3:3" ht="13.8">
      <c r="C82" s="90">
        <v>80</v>
      </c>
    </row>
    <row r="83" spans="3:3" ht="13.8">
      <c r="C83" s="90">
        <v>81</v>
      </c>
    </row>
    <row r="84" spans="3:3" ht="13.8">
      <c r="C84" s="90">
        <v>82</v>
      </c>
    </row>
    <row r="85" spans="3:3" ht="13.8">
      <c r="C85" s="90">
        <v>83</v>
      </c>
    </row>
    <row r="86" spans="3:3" ht="13.8">
      <c r="C86" s="90">
        <v>84</v>
      </c>
    </row>
    <row r="87" spans="3:3" ht="13.8">
      <c r="C87" s="90">
        <v>85</v>
      </c>
    </row>
    <row r="88" spans="3:3" ht="13.8">
      <c r="C88" s="90">
        <v>86</v>
      </c>
    </row>
    <row r="89" spans="3:3" ht="13.8">
      <c r="C89" s="90">
        <v>87</v>
      </c>
    </row>
    <row r="90" spans="3:3" ht="13.8">
      <c r="C90" s="90">
        <v>88</v>
      </c>
    </row>
    <row r="91" spans="3:3" ht="13.8">
      <c r="C91" s="90">
        <v>89</v>
      </c>
    </row>
    <row r="92" spans="3:3" ht="13.8">
      <c r="C92" s="90">
        <v>90</v>
      </c>
    </row>
    <row r="93" spans="3:3" ht="13.8">
      <c r="C93" s="90">
        <v>91</v>
      </c>
    </row>
    <row r="94" spans="3:3" ht="13.8">
      <c r="C94" s="90">
        <v>92</v>
      </c>
    </row>
    <row r="95" spans="3:3" ht="13.8">
      <c r="C95" s="90">
        <v>93</v>
      </c>
    </row>
    <row r="96" spans="3:3" ht="13.8">
      <c r="C96" s="90">
        <v>94</v>
      </c>
    </row>
    <row r="97" spans="3:3" ht="13.8">
      <c r="C97" s="90">
        <v>95</v>
      </c>
    </row>
    <row r="98" spans="3:3" ht="13.8">
      <c r="C98" s="90">
        <v>96</v>
      </c>
    </row>
    <row r="99" spans="3:3" ht="13.8">
      <c r="C99" s="90">
        <v>97</v>
      </c>
    </row>
    <row r="100" spans="3:3" ht="13.8">
      <c r="C100" s="90">
        <v>98</v>
      </c>
    </row>
    <row r="101" spans="3:3" ht="13.8">
      <c r="C101" s="90">
        <v>99</v>
      </c>
    </row>
    <row r="102" spans="3:3" ht="13.8">
      <c r="C102" s="90">
        <v>100</v>
      </c>
    </row>
    <row r="103" spans="3:3" ht="13.8">
      <c r="C103" s="90">
        <v>101</v>
      </c>
    </row>
    <row r="104" spans="3:3" ht="13.8">
      <c r="C104" s="90">
        <v>102</v>
      </c>
    </row>
    <row r="105" spans="3:3" ht="13.8">
      <c r="C105" s="90">
        <v>103</v>
      </c>
    </row>
    <row r="106" spans="3:3" ht="13.8">
      <c r="C106" s="90">
        <v>104</v>
      </c>
    </row>
    <row r="107" spans="3:3" ht="13.8">
      <c r="C107" s="90">
        <v>105</v>
      </c>
    </row>
    <row r="108" spans="3:3" ht="13.8">
      <c r="C108" s="90">
        <v>106</v>
      </c>
    </row>
    <row r="109" spans="3:3" ht="13.8">
      <c r="C109" s="90">
        <v>107</v>
      </c>
    </row>
    <row r="110" spans="3:3" ht="13.8">
      <c r="C110" s="90">
        <v>108</v>
      </c>
    </row>
    <row r="111" spans="3:3" ht="13.8">
      <c r="C111" s="90">
        <v>109</v>
      </c>
    </row>
    <row r="112" spans="3:3" ht="13.8">
      <c r="C112" s="90">
        <v>110</v>
      </c>
    </row>
    <row r="113" spans="3:3" ht="13.8">
      <c r="C113" s="90">
        <v>111</v>
      </c>
    </row>
    <row r="114" spans="3:3" ht="13.8">
      <c r="C114" s="90">
        <v>112</v>
      </c>
    </row>
    <row r="115" spans="3:3" ht="13.8">
      <c r="C115" s="90">
        <v>113</v>
      </c>
    </row>
    <row r="116" spans="3:3" ht="13.8">
      <c r="C116" s="90">
        <v>114</v>
      </c>
    </row>
    <row r="117" spans="3:3" ht="13.8">
      <c r="C117" s="90">
        <v>115</v>
      </c>
    </row>
    <row r="118" spans="3:3" ht="13.8">
      <c r="C118" s="90">
        <v>116</v>
      </c>
    </row>
    <row r="119" spans="3:3" ht="13.8">
      <c r="C119" s="90">
        <v>117</v>
      </c>
    </row>
    <row r="120" spans="3:3" ht="13.8">
      <c r="C120" s="90">
        <v>118</v>
      </c>
    </row>
    <row r="121" spans="3:3" ht="13.8">
      <c r="C121" s="90">
        <v>119</v>
      </c>
    </row>
    <row r="122" spans="3:3" ht="13.8">
      <c r="C122" s="90">
        <v>120</v>
      </c>
    </row>
    <row r="123" spans="3:3" ht="13.8">
      <c r="C123" s="90">
        <v>121</v>
      </c>
    </row>
    <row r="124" spans="3:3" ht="13.8">
      <c r="C124" s="90">
        <v>122</v>
      </c>
    </row>
    <row r="125" spans="3:3" ht="13.8">
      <c r="C125" s="90">
        <v>123</v>
      </c>
    </row>
    <row r="126" spans="3:3" ht="13.8">
      <c r="C126" s="90">
        <v>124</v>
      </c>
    </row>
    <row r="127" spans="3:3" ht="13.8">
      <c r="C127" s="90">
        <v>125</v>
      </c>
    </row>
    <row r="128" spans="3:3" ht="13.8">
      <c r="C128" s="90">
        <v>126</v>
      </c>
    </row>
    <row r="129" spans="3:3" ht="13.8">
      <c r="C129" s="90">
        <v>127</v>
      </c>
    </row>
    <row r="130" spans="3:3" ht="13.8">
      <c r="C130" s="90">
        <v>128</v>
      </c>
    </row>
    <row r="131" spans="3:3" ht="13.8">
      <c r="C131" s="90">
        <v>129</v>
      </c>
    </row>
    <row r="132" spans="3:3" ht="13.8">
      <c r="C132" s="90">
        <v>130</v>
      </c>
    </row>
    <row r="133" spans="3:3" ht="13.8">
      <c r="C133" s="90">
        <v>131</v>
      </c>
    </row>
    <row r="134" spans="3:3" ht="13.8">
      <c r="C134" s="90">
        <v>132</v>
      </c>
    </row>
    <row r="135" spans="3:3" ht="13.8">
      <c r="C135" s="90">
        <v>133</v>
      </c>
    </row>
    <row r="136" spans="3:3" ht="13.8">
      <c r="C136" s="90">
        <v>134</v>
      </c>
    </row>
    <row r="137" spans="3:3" ht="13.8">
      <c r="C137" s="90">
        <v>135</v>
      </c>
    </row>
    <row r="138" spans="3:3" ht="13.8">
      <c r="C138" s="90">
        <v>136</v>
      </c>
    </row>
    <row r="139" spans="3:3" ht="13.8">
      <c r="C139" s="90">
        <v>137</v>
      </c>
    </row>
    <row r="140" spans="3:3" ht="13.8">
      <c r="C140" s="90">
        <v>138</v>
      </c>
    </row>
    <row r="141" spans="3:3" ht="13.8">
      <c r="C141" s="90">
        <v>139</v>
      </c>
    </row>
    <row r="142" spans="3:3" ht="13.8">
      <c r="C142" s="90">
        <v>140</v>
      </c>
    </row>
    <row r="143" spans="3:3" ht="13.8">
      <c r="C143" s="90">
        <v>141</v>
      </c>
    </row>
    <row r="144" spans="3:3" ht="13.8">
      <c r="C144" s="90">
        <v>142</v>
      </c>
    </row>
    <row r="145" spans="3:3" ht="13.8">
      <c r="C145" s="90">
        <v>143</v>
      </c>
    </row>
    <row r="146" spans="3:3" ht="13.8">
      <c r="C146" s="90">
        <v>144</v>
      </c>
    </row>
    <row r="147" spans="3:3" ht="13.8">
      <c r="C147" s="90">
        <v>145</v>
      </c>
    </row>
    <row r="148" spans="3:3" ht="13.8">
      <c r="C148" s="90">
        <v>146</v>
      </c>
    </row>
    <row r="149" spans="3:3" ht="13.8">
      <c r="C149" s="90">
        <v>147</v>
      </c>
    </row>
    <row r="150" spans="3:3" ht="13.8">
      <c r="C150" s="90">
        <v>148</v>
      </c>
    </row>
    <row r="151" spans="3:3" ht="13.8">
      <c r="C151" s="90">
        <v>149</v>
      </c>
    </row>
    <row r="152" spans="3:3" ht="13.8">
      <c r="C152" s="90">
        <v>150</v>
      </c>
    </row>
    <row r="153" spans="3:3" ht="13.8">
      <c r="C153" s="90">
        <v>151</v>
      </c>
    </row>
    <row r="154" spans="3:3" ht="13.8">
      <c r="C154" s="90">
        <v>152</v>
      </c>
    </row>
    <row r="155" spans="3:3" ht="13.8">
      <c r="C155" s="90">
        <v>153</v>
      </c>
    </row>
    <row r="156" spans="3:3" ht="13.8">
      <c r="C156" s="90">
        <v>154</v>
      </c>
    </row>
    <row r="157" spans="3:3" ht="13.8">
      <c r="C157" s="90">
        <v>155</v>
      </c>
    </row>
    <row r="158" spans="3:3" ht="13.8">
      <c r="C158" s="90">
        <v>156</v>
      </c>
    </row>
    <row r="159" spans="3:3" ht="13.8">
      <c r="C159" s="90">
        <v>157</v>
      </c>
    </row>
    <row r="160" spans="3:3" ht="13.8">
      <c r="C160" s="90">
        <v>158</v>
      </c>
    </row>
    <row r="161" spans="3:3" ht="13.8">
      <c r="C161" s="90">
        <v>159</v>
      </c>
    </row>
    <row r="162" spans="3:3" ht="13.8">
      <c r="C162" s="90">
        <v>160</v>
      </c>
    </row>
    <row r="163" spans="3:3" ht="13.8">
      <c r="C163" s="90">
        <v>161</v>
      </c>
    </row>
    <row r="164" spans="3:3" ht="13.8">
      <c r="C164" s="90">
        <v>162</v>
      </c>
    </row>
    <row r="165" spans="3:3" ht="13.8">
      <c r="C165" s="90">
        <v>163</v>
      </c>
    </row>
    <row r="166" spans="3:3" ht="13.8">
      <c r="C166" s="90">
        <v>164</v>
      </c>
    </row>
    <row r="167" spans="3:3" ht="13.8">
      <c r="C167" s="90">
        <v>165</v>
      </c>
    </row>
    <row r="168" spans="3:3" ht="13.8">
      <c r="C168" s="90">
        <v>166</v>
      </c>
    </row>
    <row r="169" spans="3:3" ht="13.8">
      <c r="C169" s="90">
        <v>167</v>
      </c>
    </row>
    <row r="170" spans="3:3" ht="13.8">
      <c r="C170" s="90">
        <v>168</v>
      </c>
    </row>
    <row r="171" spans="3:3" ht="13.8">
      <c r="C171" s="90">
        <v>169</v>
      </c>
    </row>
    <row r="172" spans="3:3" ht="13.8">
      <c r="C172" s="90">
        <v>170</v>
      </c>
    </row>
    <row r="173" spans="3:3" ht="13.8">
      <c r="C173" s="90">
        <v>171</v>
      </c>
    </row>
    <row r="174" spans="3:3" ht="13.8">
      <c r="C174" s="90">
        <v>172</v>
      </c>
    </row>
    <row r="175" spans="3:3" ht="13.8">
      <c r="C175" s="90">
        <v>173</v>
      </c>
    </row>
    <row r="176" spans="3:3" ht="13.8">
      <c r="C176" s="90">
        <v>174</v>
      </c>
    </row>
    <row r="177" spans="3:3" ht="13.8">
      <c r="C177" s="90">
        <v>175</v>
      </c>
    </row>
    <row r="178" spans="3:3" ht="13.8">
      <c r="C178" s="90">
        <v>176</v>
      </c>
    </row>
    <row r="179" spans="3:3" ht="13.8">
      <c r="C179" s="90">
        <v>177</v>
      </c>
    </row>
    <row r="180" spans="3:3" ht="13.8">
      <c r="C180" s="90">
        <v>178</v>
      </c>
    </row>
    <row r="181" spans="3:3" ht="13.8">
      <c r="C181" s="90">
        <v>179</v>
      </c>
    </row>
    <row r="182" spans="3:3" ht="13.8">
      <c r="C182" s="90">
        <v>180</v>
      </c>
    </row>
    <row r="183" spans="3:3" ht="13.8">
      <c r="C183" s="90">
        <v>181</v>
      </c>
    </row>
    <row r="184" spans="3:3" ht="13.8">
      <c r="C184" s="90">
        <v>182</v>
      </c>
    </row>
    <row r="185" spans="3:3" ht="13.8">
      <c r="C185" s="90">
        <v>183</v>
      </c>
    </row>
    <row r="186" spans="3:3" ht="13.8">
      <c r="C186" s="90">
        <v>184</v>
      </c>
    </row>
    <row r="187" spans="3:3" ht="13.8">
      <c r="C187" s="90">
        <v>185</v>
      </c>
    </row>
    <row r="188" spans="3:3" ht="13.8">
      <c r="C188" s="90">
        <v>186</v>
      </c>
    </row>
    <row r="189" spans="3:3" ht="13.8">
      <c r="C189" s="90">
        <v>187</v>
      </c>
    </row>
    <row r="190" spans="3:3" ht="13.8">
      <c r="C190" s="90">
        <v>188</v>
      </c>
    </row>
    <row r="191" spans="3:3" ht="13.8">
      <c r="C191" s="90">
        <v>189</v>
      </c>
    </row>
    <row r="192" spans="3:3" ht="13.8">
      <c r="C192" s="90">
        <v>190</v>
      </c>
    </row>
    <row r="193" spans="3:3" ht="13.8">
      <c r="C193" s="90">
        <v>191</v>
      </c>
    </row>
    <row r="194" spans="3:3" ht="13.8">
      <c r="C194" s="90">
        <v>192</v>
      </c>
    </row>
    <row r="195" spans="3:3" ht="13.8">
      <c r="C195" s="90">
        <v>193</v>
      </c>
    </row>
    <row r="196" spans="3:3" ht="13.8">
      <c r="C196" s="90">
        <v>194</v>
      </c>
    </row>
    <row r="197" spans="3:3" ht="13.8">
      <c r="C197" s="90">
        <v>195</v>
      </c>
    </row>
    <row r="198" spans="3:3" ht="13.8">
      <c r="C198" s="90">
        <v>196</v>
      </c>
    </row>
    <row r="199" spans="3:3" ht="13.8">
      <c r="C199" s="90">
        <v>197</v>
      </c>
    </row>
    <row r="200" spans="3:3" ht="13.8">
      <c r="C200" s="90">
        <v>198</v>
      </c>
    </row>
    <row r="201" spans="3:3" ht="13.8">
      <c r="C201" s="90">
        <v>199</v>
      </c>
    </row>
    <row r="202" spans="3:3" ht="13.8">
      <c r="C202" s="90">
        <v>200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
  <dimension ref="A2:AC259"/>
  <sheetViews>
    <sheetView showGridLines="0" topLeftCell="A86" zoomScaleNormal="100" zoomScalePageLayoutView="70" workbookViewId="0">
      <selection activeCell="D103" sqref="D103"/>
    </sheetView>
  </sheetViews>
  <sheetFormatPr baseColWidth="10" defaultColWidth="11.44140625" defaultRowHeight="13.2"/>
  <cols>
    <col min="1" max="1" width="2.6640625" style="85" customWidth="1"/>
    <col min="2" max="2" width="16.6640625" style="18" customWidth="1"/>
    <col min="3" max="3" width="6.21875" style="18" customWidth="1"/>
    <col min="4" max="4" width="32.44140625" style="18" customWidth="1"/>
    <col min="5" max="7" width="9.6640625" style="18" customWidth="1"/>
    <col min="8" max="8" width="9.6640625" style="28" customWidth="1"/>
    <col min="9" max="10" width="9.6640625" style="18" customWidth="1"/>
    <col min="11" max="11" width="11" style="18" customWidth="1"/>
    <col min="12" max="12" width="6.6640625" style="18" customWidth="1"/>
    <col min="13" max="13" width="6" style="18" customWidth="1"/>
    <col min="14" max="14" width="5.6640625" style="18" customWidth="1"/>
    <col min="15" max="15" width="6" style="18" customWidth="1"/>
    <col min="16" max="16" width="6.21875" style="18" customWidth="1"/>
    <col min="17" max="22" width="6.44140625" style="18" customWidth="1"/>
    <col min="23" max="23" width="14" style="18" customWidth="1"/>
    <col min="24" max="16384" width="11.44140625" style="18"/>
  </cols>
  <sheetData>
    <row r="2" spans="2:27">
      <c r="D2" s="20" t="s">
        <v>66</v>
      </c>
      <c r="E2" s="21" t="s">
        <v>67</v>
      </c>
      <c r="F2" s="22">
        <f>'Notice de calcul'!AD12</f>
        <v>0</v>
      </c>
      <c r="G2" s="23"/>
      <c r="H2" s="24" t="s">
        <v>68</v>
      </c>
      <c r="I2" s="23">
        <f>'Notice de calcul'!U20</f>
        <v>0</v>
      </c>
      <c r="J2" s="25"/>
      <c r="K2" s="26"/>
      <c r="L2" s="26"/>
      <c r="M2" s="26"/>
      <c r="N2" s="26"/>
      <c r="O2" s="26"/>
      <c r="P2" s="27"/>
      <c r="Q2" s="27"/>
      <c r="R2" s="26"/>
    </row>
    <row r="3" spans="2:27">
      <c r="E3" s="21" t="s">
        <v>69</v>
      </c>
      <c r="F3" s="22">
        <f>'Notice de calcul'!AD14</f>
        <v>0</v>
      </c>
      <c r="G3" s="23"/>
      <c r="I3" s="29"/>
      <c r="J3" s="25"/>
      <c r="K3" s="30"/>
      <c r="L3" s="30"/>
      <c r="M3" s="30"/>
      <c r="N3" s="30"/>
      <c r="O3" s="30"/>
    </row>
    <row r="4" spans="2:27">
      <c r="E4" s="21" t="s">
        <v>70</v>
      </c>
      <c r="F4" s="22">
        <f>'Notice de calcul'!AD16</f>
        <v>0</v>
      </c>
      <c r="K4" s="30"/>
      <c r="L4" s="30"/>
      <c r="M4" s="30"/>
      <c r="N4" s="30"/>
      <c r="O4" s="30"/>
    </row>
    <row r="5" spans="2:27">
      <c r="F5" s="21" t="s">
        <v>71</v>
      </c>
      <c r="G5" s="31">
        <f>F2*F3*F4</f>
        <v>0</v>
      </c>
    </row>
    <row r="6" spans="2:27">
      <c r="F6" s="21"/>
      <c r="G6" s="31"/>
    </row>
    <row r="7" spans="2:27">
      <c r="E7" s="21" t="s">
        <v>72</v>
      </c>
      <c r="F7" s="32">
        <f>F2*F3</f>
        <v>0</v>
      </c>
      <c r="Z7" s="18" t="s">
        <v>117</v>
      </c>
      <c r="AA7" s="18" t="s">
        <v>7</v>
      </c>
    </row>
    <row r="8" spans="2:27">
      <c r="E8" s="21" t="s">
        <v>73</v>
      </c>
      <c r="F8" s="32">
        <f>2*(F2*F4+F3*F4)</f>
        <v>0</v>
      </c>
      <c r="AA8" s="18" t="s">
        <v>118</v>
      </c>
    </row>
    <row r="9" spans="2:27">
      <c r="E9" s="21"/>
      <c r="F9" s="32"/>
      <c r="AA9" s="18" t="s">
        <v>119</v>
      </c>
    </row>
    <row r="10" spans="2:27" ht="15.6">
      <c r="D10" s="33" t="s">
        <v>74</v>
      </c>
      <c r="E10" s="186">
        <v>1.4999999999999999E-2</v>
      </c>
      <c r="F10" s="186">
        <v>4.4999999999999998E-2</v>
      </c>
      <c r="G10" s="186">
        <v>4.4999999999999998E-2</v>
      </c>
      <c r="H10" s="186">
        <v>0.06</v>
      </c>
      <c r="I10" s="186">
        <v>7.4999999999999997E-2</v>
      </c>
      <c r="J10" s="186">
        <v>7.4999999999999997E-2</v>
      </c>
      <c r="L10" s="34"/>
      <c r="AA10" s="18" t="s">
        <v>120</v>
      </c>
    </row>
    <row r="11" spans="2:27" ht="15.6">
      <c r="D11" s="35" t="s">
        <v>75</v>
      </c>
      <c r="E11" s="36">
        <v>125</v>
      </c>
      <c r="F11" s="36">
        <v>250</v>
      </c>
      <c r="G11" s="36">
        <v>500</v>
      </c>
      <c r="H11" s="36">
        <v>1000</v>
      </c>
      <c r="I11" s="36">
        <v>2000</v>
      </c>
      <c r="J11" s="37">
        <v>4000</v>
      </c>
      <c r="K11" s="38" t="s">
        <v>49</v>
      </c>
      <c r="L11" s="39"/>
      <c r="P11" s="34"/>
      <c r="Q11" s="34"/>
      <c r="R11" s="40"/>
      <c r="S11" s="34"/>
      <c r="AA11" s="18" t="s">
        <v>121</v>
      </c>
    </row>
    <row r="12" spans="2:27" ht="15.6">
      <c r="C12" s="24" t="s">
        <v>76</v>
      </c>
      <c r="D12" s="41" t="s">
        <v>77</v>
      </c>
      <c r="E12" s="42">
        <v>0.1</v>
      </c>
      <c r="F12" s="42">
        <v>0.35</v>
      </c>
      <c r="G12" s="42">
        <v>0.75</v>
      </c>
      <c r="H12" s="42">
        <v>0.9</v>
      </c>
      <c r="I12" s="42">
        <v>0.95</v>
      </c>
      <c r="J12" s="43">
        <v>0.98</v>
      </c>
      <c r="K12" s="44"/>
      <c r="L12" s="34"/>
      <c r="P12" s="45"/>
      <c r="Q12" s="45"/>
      <c r="R12" s="34"/>
      <c r="S12" s="34"/>
    </row>
    <row r="13" spans="2:27" ht="15.6">
      <c r="D13" s="41" t="s">
        <v>79</v>
      </c>
      <c r="E13" s="42">
        <v>0.46666666666666673</v>
      </c>
      <c r="F13" s="42">
        <v>0.93</v>
      </c>
      <c r="G13" s="42">
        <v>0.88</v>
      </c>
      <c r="H13" s="42">
        <v>0.99333333333333329</v>
      </c>
      <c r="I13" s="42">
        <v>0.9966666666666667</v>
      </c>
      <c r="J13" s="43">
        <v>1.05</v>
      </c>
      <c r="K13" s="44"/>
      <c r="L13" s="34"/>
      <c r="P13" s="45"/>
      <c r="Q13" s="45"/>
      <c r="R13" s="34"/>
      <c r="S13" s="34"/>
    </row>
    <row r="14" spans="2:27" s="85" customFormat="1" ht="15.6">
      <c r="B14" s="193"/>
      <c r="C14" s="187" t="s">
        <v>78</v>
      </c>
      <c r="D14" s="188" t="s">
        <v>157</v>
      </c>
      <c r="E14" s="186">
        <v>8.5000000000000006E-2</v>
      </c>
      <c r="F14" s="186">
        <v>0.255</v>
      </c>
      <c r="G14" s="186">
        <v>0.255</v>
      </c>
      <c r="H14" s="186">
        <v>0.34</v>
      </c>
      <c r="I14" s="186">
        <v>0.42499999999999999</v>
      </c>
      <c r="J14" s="186">
        <v>0.42499999999999999</v>
      </c>
      <c r="K14" s="189">
        <f>0.6*0.6</f>
        <v>0.36</v>
      </c>
      <c r="L14" s="46"/>
      <c r="M14" s="112">
        <v>0.1</v>
      </c>
      <c r="N14" s="112">
        <v>0.3</v>
      </c>
      <c r="O14" s="112">
        <v>0.3</v>
      </c>
      <c r="P14" s="112">
        <v>0.4</v>
      </c>
      <c r="Q14" s="112">
        <v>0.5</v>
      </c>
      <c r="R14" s="112">
        <v>0.5</v>
      </c>
      <c r="T14" s="66">
        <v>-0.15</v>
      </c>
      <c r="U14" s="113">
        <f>M14*0.85</f>
        <v>8.5000000000000006E-2</v>
      </c>
      <c r="V14" s="113">
        <f t="shared" ref="V14:V15" si="0">N14*0.85</f>
        <v>0.255</v>
      </c>
      <c r="W14" s="113">
        <f t="shared" ref="W14:W15" si="1">O14*0.85</f>
        <v>0.255</v>
      </c>
      <c r="X14" s="113">
        <f t="shared" ref="X14:X15" si="2">P14*0.85</f>
        <v>0.34</v>
      </c>
      <c r="Y14" s="113">
        <f t="shared" ref="Y14:Y15" si="3">Q14*0.85</f>
        <v>0.42499999999999999</v>
      </c>
      <c r="Z14" s="113">
        <f t="shared" ref="Z14:Z15" si="4">R14*0.85</f>
        <v>0.42499999999999999</v>
      </c>
    </row>
    <row r="15" spans="2:27" ht="15.6">
      <c r="B15" s="193"/>
      <c r="C15" s="187" t="s">
        <v>78</v>
      </c>
      <c r="D15" s="188" t="s">
        <v>158</v>
      </c>
      <c r="E15" s="186">
        <v>8.5000000000000006E-2</v>
      </c>
      <c r="F15" s="186">
        <v>0.34</v>
      </c>
      <c r="G15" s="186">
        <v>0.34</v>
      </c>
      <c r="H15" s="186">
        <v>0.51</v>
      </c>
      <c r="I15" s="186">
        <v>0.59499999999999997</v>
      </c>
      <c r="J15" s="186">
        <v>0.59499999999999997</v>
      </c>
      <c r="K15" s="189">
        <f>0.6*0.6</f>
        <v>0.36</v>
      </c>
      <c r="L15" s="46"/>
      <c r="M15" s="112">
        <v>0.1</v>
      </c>
      <c r="N15" s="112">
        <v>0.4</v>
      </c>
      <c r="O15" s="112">
        <v>0.4</v>
      </c>
      <c r="P15" s="112">
        <v>0.6</v>
      </c>
      <c r="Q15" s="112">
        <v>0.7</v>
      </c>
      <c r="R15" s="112">
        <v>0.7</v>
      </c>
      <c r="S15" s="85"/>
      <c r="T15" s="66">
        <v>-0.15</v>
      </c>
      <c r="U15" s="113">
        <f>M15*0.85</f>
        <v>8.5000000000000006E-2</v>
      </c>
      <c r="V15" s="113">
        <f t="shared" si="0"/>
        <v>0.34</v>
      </c>
      <c r="W15" s="113">
        <f t="shared" si="1"/>
        <v>0.34</v>
      </c>
      <c r="X15" s="113">
        <f t="shared" si="2"/>
        <v>0.51</v>
      </c>
      <c r="Y15" s="113">
        <f t="shared" si="3"/>
        <v>0.59499999999999997</v>
      </c>
      <c r="Z15" s="113">
        <f t="shared" si="4"/>
        <v>0.59499999999999997</v>
      </c>
    </row>
    <row r="16" spans="2:27" ht="15.6">
      <c r="C16" s="187" t="s">
        <v>78</v>
      </c>
      <c r="D16" s="188" t="s">
        <v>80</v>
      </c>
      <c r="E16" s="186">
        <v>0.4</v>
      </c>
      <c r="F16" s="186">
        <v>1.4</v>
      </c>
      <c r="G16" s="186">
        <v>1.9</v>
      </c>
      <c r="H16" s="186">
        <v>2.2000000000000002</v>
      </c>
      <c r="I16" s="186">
        <v>2.2000000000000002</v>
      </c>
      <c r="J16" s="192">
        <v>2.2000000000000002</v>
      </c>
      <c r="K16" s="189">
        <f>1.195*1.195</f>
        <v>1.4280250000000001</v>
      </c>
      <c r="L16" s="47"/>
      <c r="M16" s="26"/>
      <c r="P16" s="34"/>
      <c r="Q16" s="34"/>
      <c r="R16" s="34"/>
      <c r="S16" s="39"/>
    </row>
    <row r="17" spans="2:27" ht="15.6">
      <c r="C17" s="187" t="s">
        <v>78</v>
      </c>
      <c r="D17" s="188" t="s">
        <v>81</v>
      </c>
      <c r="E17" s="186">
        <v>0.3</v>
      </c>
      <c r="F17" s="186">
        <v>1.3</v>
      </c>
      <c r="G17" s="186">
        <v>1.8</v>
      </c>
      <c r="H17" s="186">
        <v>1.7</v>
      </c>
      <c r="I17" s="186">
        <v>1.6</v>
      </c>
      <c r="J17" s="192">
        <v>1.6</v>
      </c>
      <c r="K17" s="189">
        <f>1.195*1.195</f>
        <v>1.4280250000000001</v>
      </c>
      <c r="L17" s="47"/>
      <c r="M17" s="26"/>
      <c r="P17" s="34"/>
      <c r="Q17" s="39"/>
      <c r="R17" s="39"/>
      <c r="S17" s="39"/>
    </row>
    <row r="18" spans="2:27" s="85" customFormat="1" ht="15.6">
      <c r="C18" s="187" t="s">
        <v>78</v>
      </c>
      <c r="D18" s="188" t="s">
        <v>183</v>
      </c>
      <c r="E18" s="186">
        <v>0.3</v>
      </c>
      <c r="F18" s="186">
        <v>0.6</v>
      </c>
      <c r="G18" s="186">
        <v>0.9</v>
      </c>
      <c r="H18" s="186">
        <v>1.2</v>
      </c>
      <c r="I18" s="186">
        <v>1.3</v>
      </c>
      <c r="J18" s="192">
        <v>1.3</v>
      </c>
      <c r="K18" s="189">
        <f>3.141592653*600*600/1000/1000</f>
        <v>1.1309733550800001</v>
      </c>
      <c r="L18" s="47"/>
      <c r="M18" s="26"/>
      <c r="P18" s="34"/>
      <c r="Q18" s="39"/>
      <c r="R18" s="39"/>
      <c r="S18" s="39"/>
    </row>
    <row r="19" spans="2:27" s="85" customFormat="1" ht="15.6">
      <c r="C19" s="187" t="s">
        <v>78</v>
      </c>
      <c r="D19" s="188" t="s">
        <v>181</v>
      </c>
      <c r="E19" s="186">
        <v>0.5</v>
      </c>
      <c r="F19" s="186">
        <v>1.4</v>
      </c>
      <c r="G19" s="186">
        <v>1.5</v>
      </c>
      <c r="H19" s="186">
        <v>1.8</v>
      </c>
      <c r="I19" s="186">
        <v>2</v>
      </c>
      <c r="J19" s="192">
        <v>2.2000000000000002</v>
      </c>
      <c r="K19" s="189">
        <f>1.16*1.16</f>
        <v>1.3455999999999999</v>
      </c>
      <c r="L19" s="47"/>
      <c r="M19" s="26"/>
      <c r="P19" s="34"/>
      <c r="Q19" s="39"/>
      <c r="R19" s="39"/>
      <c r="S19" s="39"/>
    </row>
    <row r="20" spans="2:27" s="85" customFormat="1" ht="15.6">
      <c r="C20" s="187" t="s">
        <v>78</v>
      </c>
      <c r="D20" s="188" t="s">
        <v>182</v>
      </c>
      <c r="E20" s="186">
        <v>0.2</v>
      </c>
      <c r="F20" s="186">
        <v>0.5</v>
      </c>
      <c r="G20" s="186">
        <v>1.2</v>
      </c>
      <c r="H20" s="186">
        <v>1.7</v>
      </c>
      <c r="I20" s="186">
        <v>1.6</v>
      </c>
      <c r="J20" s="192">
        <v>1.6</v>
      </c>
      <c r="K20" s="189">
        <f>1.16*1.16</f>
        <v>1.3455999999999999</v>
      </c>
      <c r="L20" s="47"/>
      <c r="M20" s="26"/>
      <c r="P20" s="34"/>
      <c r="Q20" s="39"/>
      <c r="R20" s="39"/>
      <c r="S20" s="39"/>
    </row>
    <row r="21" spans="2:27" s="85" customFormat="1" ht="15.6">
      <c r="C21" s="187" t="s">
        <v>78</v>
      </c>
      <c r="D21" s="188" t="s">
        <v>134</v>
      </c>
      <c r="E21" s="186">
        <v>0.5</v>
      </c>
      <c r="F21" s="186">
        <v>1</v>
      </c>
      <c r="G21" s="186">
        <v>1.6</v>
      </c>
      <c r="H21" s="186">
        <v>1.8</v>
      </c>
      <c r="I21" s="186">
        <v>1.8</v>
      </c>
      <c r="J21" s="192">
        <v>1.6</v>
      </c>
      <c r="K21" s="189">
        <f>0.5*0.5*6</f>
        <v>1.5</v>
      </c>
      <c r="L21" s="47"/>
      <c r="M21" s="26"/>
      <c r="P21" s="34"/>
      <c r="Q21" s="39"/>
      <c r="R21" s="39"/>
      <c r="S21" s="39"/>
    </row>
    <row r="22" spans="2:27" s="85" customFormat="1" ht="15.6">
      <c r="C22" s="187" t="s">
        <v>78</v>
      </c>
      <c r="D22" s="188" t="s">
        <v>135</v>
      </c>
      <c r="E22" s="186">
        <v>0.2</v>
      </c>
      <c r="F22" s="186">
        <v>0.4</v>
      </c>
      <c r="G22" s="186">
        <v>0.7</v>
      </c>
      <c r="H22" s="186">
        <v>0.8</v>
      </c>
      <c r="I22" s="186">
        <v>0.8</v>
      </c>
      <c r="J22" s="192">
        <v>0.7</v>
      </c>
      <c r="K22" s="189">
        <f>0.31*0.31*6</f>
        <v>0.5766</v>
      </c>
      <c r="L22" s="47"/>
      <c r="M22" s="26"/>
      <c r="P22" s="34"/>
      <c r="Q22" s="39"/>
      <c r="R22" s="39"/>
      <c r="S22" s="39"/>
    </row>
    <row r="23" spans="2:27" s="85" customFormat="1" ht="15.6">
      <c r="C23" s="187" t="s">
        <v>78</v>
      </c>
      <c r="D23" s="188" t="s">
        <v>136</v>
      </c>
      <c r="E23" s="186">
        <v>0.7</v>
      </c>
      <c r="F23" s="186">
        <v>1.4</v>
      </c>
      <c r="G23" s="186">
        <v>1.8</v>
      </c>
      <c r="H23" s="186">
        <v>2</v>
      </c>
      <c r="I23" s="186">
        <v>1.9665999999999999</v>
      </c>
      <c r="J23" s="192">
        <v>1.8333299999999999</v>
      </c>
      <c r="K23" s="189">
        <f>1.1*0.39*4</f>
        <v>1.7160000000000002</v>
      </c>
      <c r="L23" s="47"/>
      <c r="M23" s="34"/>
      <c r="N23" s="34"/>
      <c r="O23" s="34"/>
      <c r="P23" s="34"/>
      <c r="Q23" s="39"/>
      <c r="R23" s="39"/>
      <c r="S23" s="39"/>
      <c r="T23" s="34"/>
      <c r="U23" s="34"/>
      <c r="V23" s="34"/>
      <c r="W23" s="34"/>
      <c r="X23" s="34"/>
      <c r="Y23" s="34"/>
      <c r="Z23" s="34"/>
      <c r="AA23" s="34"/>
    </row>
    <row r="24" spans="2:27" s="85" customFormat="1" ht="15.6">
      <c r="C24" s="187" t="s">
        <v>78</v>
      </c>
      <c r="D24" s="188" t="s">
        <v>137</v>
      </c>
      <c r="E24" s="186">
        <v>1.2</v>
      </c>
      <c r="F24" s="186">
        <v>2.5</v>
      </c>
      <c r="G24" s="186">
        <v>3.3</v>
      </c>
      <c r="H24" s="186">
        <v>3.5</v>
      </c>
      <c r="I24" s="186">
        <v>3.4</v>
      </c>
      <c r="J24" s="192">
        <v>3.1</v>
      </c>
      <c r="K24" s="189">
        <f>2*0.39*4</f>
        <v>3.12</v>
      </c>
      <c r="L24" s="47"/>
      <c r="M24" s="34"/>
      <c r="N24" s="34"/>
      <c r="O24" s="34"/>
      <c r="P24" s="34"/>
      <c r="Q24" s="39"/>
      <c r="R24" s="39"/>
      <c r="S24" s="39"/>
      <c r="T24" s="34"/>
      <c r="U24" s="34"/>
      <c r="V24" s="34"/>
      <c r="W24" s="34"/>
      <c r="X24" s="34"/>
      <c r="Y24" s="34"/>
      <c r="Z24" s="34"/>
      <c r="AA24" s="34"/>
    </row>
    <row r="25" spans="2:27" s="85" customFormat="1" ht="15.6">
      <c r="B25" s="275" t="s">
        <v>367</v>
      </c>
      <c r="C25" s="276" t="s">
        <v>78</v>
      </c>
      <c r="D25" s="277" t="s">
        <v>366</v>
      </c>
      <c r="E25" s="278">
        <v>0.1</v>
      </c>
      <c r="F25" s="278">
        <v>0.6</v>
      </c>
      <c r="G25" s="278">
        <v>1.8</v>
      </c>
      <c r="H25" s="278">
        <v>2.6</v>
      </c>
      <c r="I25" s="278">
        <v>2.6</v>
      </c>
      <c r="J25" s="279">
        <v>2.6</v>
      </c>
      <c r="K25" s="280">
        <f>1.23*2.44*1.2</f>
        <v>3.6014399999999998</v>
      </c>
      <c r="L25" s="281" t="s">
        <v>368</v>
      </c>
      <c r="M25" s="282"/>
      <c r="N25" s="282"/>
      <c r="O25" s="282"/>
      <c r="P25" s="282"/>
      <c r="Q25" s="39"/>
      <c r="R25" s="39"/>
      <c r="S25" s="39"/>
      <c r="T25" s="34"/>
      <c r="U25" s="34"/>
      <c r="V25" s="34"/>
      <c r="W25" s="34"/>
      <c r="X25" s="34"/>
      <c r="Y25" s="34"/>
      <c r="Z25" s="34"/>
      <c r="AA25" s="34"/>
    </row>
    <row r="26" spans="2:27" s="85" customFormat="1" ht="15.6">
      <c r="C26" s="187" t="s">
        <v>78</v>
      </c>
      <c r="D26" s="188" t="s">
        <v>138</v>
      </c>
      <c r="E26" s="186">
        <v>1.2</v>
      </c>
      <c r="F26" s="186">
        <v>2.2000000000000002</v>
      </c>
      <c r="G26" s="186">
        <v>3.3</v>
      </c>
      <c r="H26" s="186">
        <v>4</v>
      </c>
      <c r="I26" s="186">
        <v>3.8</v>
      </c>
      <c r="J26" s="192">
        <v>3.8</v>
      </c>
      <c r="K26" s="189">
        <f>1.195*1.795</f>
        <v>2.145025</v>
      </c>
      <c r="L26" s="47"/>
      <c r="M26" s="34"/>
      <c r="N26" s="191"/>
      <c r="O26" s="191"/>
      <c r="P26" s="191"/>
      <c r="Q26" s="191"/>
      <c r="R26" s="191"/>
      <c r="S26" s="191"/>
      <c r="T26" s="34"/>
      <c r="U26" s="194"/>
      <c r="V26" s="34"/>
      <c r="W26" s="34"/>
      <c r="X26" s="34"/>
      <c r="Y26" s="34"/>
      <c r="Z26" s="34"/>
      <c r="AA26" s="34"/>
    </row>
    <row r="27" spans="2:27" s="85" customFormat="1" ht="15.6">
      <c r="C27" s="187" t="s">
        <v>78</v>
      </c>
      <c r="D27" s="188" t="s">
        <v>139</v>
      </c>
      <c r="E27" s="186">
        <f t="shared" ref="E27:J27" si="5">+E26/2</f>
        <v>0.6</v>
      </c>
      <c r="F27" s="186">
        <f t="shared" si="5"/>
        <v>1.1000000000000001</v>
      </c>
      <c r="G27" s="186">
        <f t="shared" si="5"/>
        <v>1.65</v>
      </c>
      <c r="H27" s="186">
        <f t="shared" si="5"/>
        <v>2</v>
      </c>
      <c r="I27" s="186">
        <f t="shared" si="5"/>
        <v>1.9</v>
      </c>
      <c r="J27" s="186">
        <f t="shared" si="5"/>
        <v>1.9</v>
      </c>
      <c r="K27" s="189">
        <f>0.6*1.795</f>
        <v>1.077</v>
      </c>
      <c r="L27" s="47"/>
      <c r="M27" s="34"/>
      <c r="N27" s="191"/>
      <c r="O27" s="191"/>
      <c r="P27" s="191"/>
      <c r="Q27" s="191"/>
      <c r="R27" s="191"/>
      <c r="S27" s="191"/>
      <c r="T27" s="34"/>
      <c r="U27" s="194"/>
      <c r="V27" s="34"/>
      <c r="W27" s="34"/>
      <c r="X27" s="34"/>
      <c r="Y27" s="34"/>
      <c r="Z27" s="34"/>
      <c r="AA27" s="34"/>
    </row>
    <row r="28" spans="2:27" s="85" customFormat="1" ht="15.6">
      <c r="C28" s="187" t="s">
        <v>78</v>
      </c>
      <c r="D28" s="188" t="s">
        <v>159</v>
      </c>
      <c r="E28" s="186">
        <v>1</v>
      </c>
      <c r="F28" s="186">
        <v>2.2000000000000002</v>
      </c>
      <c r="G28" s="186">
        <v>3.2</v>
      </c>
      <c r="H28" s="186">
        <v>3.7</v>
      </c>
      <c r="I28" s="186">
        <v>3.7</v>
      </c>
      <c r="J28" s="186">
        <v>3.8</v>
      </c>
      <c r="K28" s="189">
        <f>1.133*1.59</f>
        <v>1.8014700000000001</v>
      </c>
      <c r="L28" s="47"/>
      <c r="M28" s="34"/>
      <c r="N28" s="34"/>
      <c r="O28" s="34"/>
      <c r="P28" s="34"/>
      <c r="Q28" s="34"/>
      <c r="R28" s="34"/>
      <c r="S28" s="34"/>
      <c r="T28" s="34"/>
      <c r="U28" s="34"/>
      <c r="V28" s="34"/>
      <c r="W28" s="34"/>
      <c r="X28" s="34"/>
      <c r="Y28" s="34"/>
      <c r="Z28" s="34"/>
      <c r="AA28" s="34"/>
    </row>
    <row r="29" spans="2:27" s="85" customFormat="1" ht="15.6">
      <c r="C29" s="187" t="s">
        <v>78</v>
      </c>
      <c r="D29" s="188" t="s">
        <v>160</v>
      </c>
      <c r="E29" s="186">
        <v>1</v>
      </c>
      <c r="F29" s="186">
        <v>1.5</v>
      </c>
      <c r="G29" s="186">
        <v>2.2000000000000002</v>
      </c>
      <c r="H29" s="186">
        <v>2.4</v>
      </c>
      <c r="I29" s="186">
        <v>2.2999999999999998</v>
      </c>
      <c r="J29" s="186">
        <v>2.4</v>
      </c>
      <c r="K29" s="189">
        <f>1.133*0.964</f>
        <v>1.092212</v>
      </c>
      <c r="L29" s="47"/>
      <c r="M29" s="34"/>
      <c r="N29" s="34"/>
      <c r="O29" s="34"/>
      <c r="P29" s="34"/>
      <c r="Q29" s="34"/>
      <c r="R29" s="34"/>
      <c r="S29" s="34"/>
      <c r="T29" s="34"/>
      <c r="U29" s="34"/>
      <c r="V29" s="34"/>
      <c r="W29" s="34"/>
      <c r="X29" s="34"/>
      <c r="Y29" s="34"/>
      <c r="Z29" s="34"/>
      <c r="AA29" s="34"/>
    </row>
    <row r="30" spans="2:27" s="85" customFormat="1" ht="15.6">
      <c r="C30" s="187" t="s">
        <v>78</v>
      </c>
      <c r="D30" s="188" t="s">
        <v>193</v>
      </c>
      <c r="E30" s="186">
        <v>0.57999999999999996</v>
      </c>
      <c r="F30" s="186">
        <v>1.25</v>
      </c>
      <c r="G30" s="186">
        <v>1.72</v>
      </c>
      <c r="H30" s="186">
        <v>1.97</v>
      </c>
      <c r="I30" s="186">
        <v>1.83</v>
      </c>
      <c r="J30" s="186">
        <v>2.2799999999999998</v>
      </c>
      <c r="K30" s="189">
        <f>1*1.3</f>
        <v>1.3</v>
      </c>
      <c r="L30" s="47"/>
      <c r="M30" s="34"/>
      <c r="N30" s="34"/>
      <c r="O30" s="34"/>
      <c r="P30" s="34"/>
      <c r="Q30" s="34"/>
      <c r="R30" s="34"/>
      <c r="S30" s="34"/>
      <c r="T30" s="34"/>
      <c r="U30" s="34"/>
      <c r="V30" s="34"/>
      <c r="W30" s="34"/>
      <c r="X30" s="34"/>
      <c r="Y30" s="34"/>
      <c r="Z30" s="34"/>
      <c r="AA30" s="34"/>
    </row>
    <row r="31" spans="2:27" s="85" customFormat="1" ht="15.6">
      <c r="C31" s="187" t="s">
        <v>78</v>
      </c>
      <c r="D31" s="188" t="s">
        <v>194</v>
      </c>
      <c r="E31" s="186">
        <v>0.82</v>
      </c>
      <c r="F31" s="186">
        <v>1.75</v>
      </c>
      <c r="G31" s="186">
        <v>2.41</v>
      </c>
      <c r="H31" s="186">
        <v>2.76</v>
      </c>
      <c r="I31" s="186">
        <v>2.57</v>
      </c>
      <c r="J31" s="186">
        <v>3.19</v>
      </c>
      <c r="K31" s="189">
        <f>1.3*1.4</f>
        <v>1.8199999999999998</v>
      </c>
      <c r="L31" s="47"/>
      <c r="M31" s="26"/>
    </row>
    <row r="32" spans="2:27" s="85" customFormat="1" ht="15.6">
      <c r="C32" s="187" t="s">
        <v>78</v>
      </c>
      <c r="D32" s="188" t="s">
        <v>195</v>
      </c>
      <c r="E32" s="186">
        <v>0.93</v>
      </c>
      <c r="F32" s="186">
        <v>2</v>
      </c>
      <c r="G32" s="186">
        <v>2.76</v>
      </c>
      <c r="H32" s="186">
        <v>3.16</v>
      </c>
      <c r="I32" s="186">
        <v>2.93</v>
      </c>
      <c r="J32" s="186">
        <v>3.64</v>
      </c>
      <c r="K32" s="189">
        <f>1.3*1.6</f>
        <v>2.08</v>
      </c>
      <c r="L32" s="47"/>
      <c r="M32" s="26"/>
    </row>
    <row r="33" spans="1:26" s="85" customFormat="1" ht="15.6">
      <c r="C33" s="187" t="s">
        <v>78</v>
      </c>
      <c r="D33" s="188" t="s">
        <v>196</v>
      </c>
      <c r="E33" s="186">
        <v>1.05</v>
      </c>
      <c r="F33" s="186">
        <v>2.25</v>
      </c>
      <c r="G33" s="186">
        <v>3.1</v>
      </c>
      <c r="H33" s="186">
        <v>3.55</v>
      </c>
      <c r="I33" s="186">
        <v>3.3</v>
      </c>
      <c r="J33" s="186">
        <v>4.0999999999999996</v>
      </c>
      <c r="K33" s="189">
        <f>1.3*1.8</f>
        <v>2.3400000000000003</v>
      </c>
      <c r="L33" s="47"/>
      <c r="M33" s="26"/>
    </row>
    <row r="34" spans="1:26" s="85" customFormat="1" ht="15.6">
      <c r="C34" s="187" t="s">
        <v>78</v>
      </c>
      <c r="D34" s="188" t="s">
        <v>197</v>
      </c>
      <c r="E34" s="186">
        <v>1.17</v>
      </c>
      <c r="F34" s="186">
        <v>2.5</v>
      </c>
      <c r="G34" s="186">
        <v>3.44</v>
      </c>
      <c r="H34" s="186">
        <v>3.94</v>
      </c>
      <c r="I34" s="186">
        <v>3.67</v>
      </c>
      <c r="J34" s="186">
        <v>4.5599999999999996</v>
      </c>
      <c r="K34" s="189">
        <f>1.3*2</f>
        <v>2.6</v>
      </c>
      <c r="L34" s="47"/>
      <c r="M34" s="26"/>
    </row>
    <row r="35" spans="1:26" s="28" customFormat="1" ht="15.6">
      <c r="C35" s="24"/>
      <c r="D35" s="41" t="s">
        <v>227</v>
      </c>
      <c r="E35" s="42">
        <v>2.2949999999999998E-2</v>
      </c>
      <c r="F35" s="42">
        <v>0.11475</v>
      </c>
      <c r="G35" s="42">
        <v>0.22950000000000001</v>
      </c>
      <c r="H35" s="42">
        <v>0.36719999999999997</v>
      </c>
      <c r="I35" s="42">
        <v>0.43604999999999999</v>
      </c>
      <c r="J35" s="42">
        <v>0.45900000000000002</v>
      </c>
      <c r="K35" s="44">
        <f>1.12*0.485</f>
        <v>0.54320000000000002</v>
      </c>
      <c r="L35" s="47"/>
      <c r="M35" s="112">
        <v>2.7E-2</v>
      </c>
      <c r="N35" s="112">
        <v>0.13500000000000001</v>
      </c>
      <c r="O35" s="112">
        <v>0.27</v>
      </c>
      <c r="P35" s="112">
        <v>0.432</v>
      </c>
      <c r="Q35" s="112">
        <v>0.51300000000000001</v>
      </c>
      <c r="R35" s="112">
        <v>0.54</v>
      </c>
      <c r="T35" s="66">
        <v>-0.15</v>
      </c>
      <c r="U35" s="113">
        <f>M35*0.85</f>
        <v>2.2949999999999998E-2</v>
      </c>
      <c r="V35" s="113">
        <f t="shared" ref="V35:V36" si="6">N35*0.85</f>
        <v>0.11475</v>
      </c>
      <c r="W35" s="113">
        <f t="shared" ref="W35:W36" si="7">O35*0.85</f>
        <v>0.22950000000000001</v>
      </c>
      <c r="X35" s="113">
        <f t="shared" ref="X35:X36" si="8">P35*0.85</f>
        <v>0.36719999999999997</v>
      </c>
      <c r="Y35" s="113">
        <f t="shared" ref="Y35:Y36" si="9">Q35*0.85</f>
        <v>0.43604999999999999</v>
      </c>
      <c r="Z35" s="113">
        <f t="shared" ref="Z35:Z36" si="10">R35*0.85</f>
        <v>0.45900000000000002</v>
      </c>
    </row>
    <row r="36" spans="1:26" s="28" customFormat="1" ht="15.6">
      <c r="B36" s="28" t="s">
        <v>417</v>
      </c>
      <c r="C36" s="24"/>
      <c r="D36" s="188" t="s">
        <v>418</v>
      </c>
      <c r="E36" s="186">
        <v>8.5000000000000006E-2</v>
      </c>
      <c r="F36" s="186">
        <v>0.17</v>
      </c>
      <c r="G36" s="186">
        <v>0.34</v>
      </c>
      <c r="H36" s="186">
        <v>0.42499999999999999</v>
      </c>
      <c r="I36" s="186">
        <v>0.42499999999999999</v>
      </c>
      <c r="J36" s="186">
        <v>0.51</v>
      </c>
      <c r="K36" s="189">
        <f>0.6*0.6</f>
        <v>0.36</v>
      </c>
      <c r="L36" s="47"/>
      <c r="M36" s="112">
        <v>0.1</v>
      </c>
      <c r="N36" s="112">
        <v>0.2</v>
      </c>
      <c r="O36" s="112">
        <v>0.4</v>
      </c>
      <c r="P36" s="112">
        <v>0.5</v>
      </c>
      <c r="Q36" s="112">
        <v>0.5</v>
      </c>
      <c r="R36" s="112">
        <v>0.6</v>
      </c>
      <c r="S36" s="85"/>
      <c r="T36" s="66">
        <v>-0.15</v>
      </c>
      <c r="U36" s="113">
        <f>M36*0.85</f>
        <v>8.5000000000000006E-2</v>
      </c>
      <c r="V36" s="113">
        <f t="shared" si="6"/>
        <v>0.17</v>
      </c>
      <c r="W36" s="113">
        <f t="shared" si="7"/>
        <v>0.34</v>
      </c>
      <c r="X36" s="113">
        <f t="shared" si="8"/>
        <v>0.42499999999999999</v>
      </c>
      <c r="Y36" s="113">
        <f t="shared" si="9"/>
        <v>0.42499999999999999</v>
      </c>
      <c r="Z36" s="113">
        <f t="shared" si="10"/>
        <v>0.51</v>
      </c>
    </row>
    <row r="37" spans="1:26" s="85" customFormat="1" ht="15.6">
      <c r="C37" s="187" t="s">
        <v>78</v>
      </c>
      <c r="D37" s="188" t="s">
        <v>231</v>
      </c>
      <c r="E37" s="186">
        <v>0.2</v>
      </c>
      <c r="F37" s="186">
        <v>0.9</v>
      </c>
      <c r="G37" s="186">
        <v>1.2</v>
      </c>
      <c r="H37" s="186">
        <v>1.6</v>
      </c>
      <c r="I37" s="186">
        <v>1.8</v>
      </c>
      <c r="J37" s="186">
        <v>1.7</v>
      </c>
      <c r="K37" s="189">
        <f>0.375*1.6*2</f>
        <v>1.2000000000000002</v>
      </c>
      <c r="L37" s="47"/>
      <c r="M37" s="26"/>
    </row>
    <row r="38" spans="1:26" s="85" customFormat="1" ht="15.6">
      <c r="C38" s="187" t="s">
        <v>78</v>
      </c>
      <c r="D38" s="188" t="s">
        <v>232</v>
      </c>
      <c r="E38" s="186">
        <v>0.4</v>
      </c>
      <c r="F38" s="186">
        <v>0.9</v>
      </c>
      <c r="G38" s="186">
        <v>1.3</v>
      </c>
      <c r="H38" s="186">
        <v>1.7</v>
      </c>
      <c r="I38" s="186">
        <v>1.9</v>
      </c>
      <c r="J38" s="186">
        <v>1.8</v>
      </c>
      <c r="K38" s="189">
        <v>1.2</v>
      </c>
      <c r="L38" s="47"/>
      <c r="M38" s="26"/>
    </row>
    <row r="39" spans="1:26" s="85" customFormat="1" ht="28.8">
      <c r="B39" s="227"/>
      <c r="C39" s="187" t="s">
        <v>78</v>
      </c>
      <c r="D39" s="188" t="s">
        <v>288</v>
      </c>
      <c r="E39" s="186">
        <v>0.3</v>
      </c>
      <c r="F39" s="186">
        <v>1.1000000000000001</v>
      </c>
      <c r="G39" s="186">
        <v>1.1000000000000001</v>
      </c>
      <c r="H39" s="186">
        <v>1.6</v>
      </c>
      <c r="I39" s="186">
        <v>1.8</v>
      </c>
      <c r="J39" s="186">
        <v>1.9</v>
      </c>
      <c r="K39" s="189">
        <f>1.3*0.8</f>
        <v>1.04</v>
      </c>
      <c r="L39" s="47" t="s">
        <v>289</v>
      </c>
      <c r="M39" s="26" t="s">
        <v>273</v>
      </c>
    </row>
    <row r="40" spans="1:26" s="85" customFormat="1" ht="26.25" customHeight="1">
      <c r="B40" s="227"/>
      <c r="C40" s="187" t="s">
        <v>78</v>
      </c>
      <c r="D40" s="188" t="s">
        <v>290</v>
      </c>
      <c r="E40" s="186">
        <v>0.3</v>
      </c>
      <c r="F40" s="112">
        <v>1.1000000000000001</v>
      </c>
      <c r="G40" s="112">
        <v>1.1000000000000001</v>
      </c>
      <c r="H40" s="112">
        <v>1.25</v>
      </c>
      <c r="I40" s="186">
        <v>1.45</v>
      </c>
      <c r="J40" s="186">
        <v>1.6</v>
      </c>
      <c r="K40" s="189">
        <v>1.04</v>
      </c>
      <c r="L40" s="47"/>
      <c r="M40" s="26"/>
    </row>
    <row r="41" spans="1:26" s="85" customFormat="1" ht="15.6">
      <c r="C41" s="24"/>
      <c r="D41" s="190"/>
      <c r="E41" s="191"/>
      <c r="F41" s="191"/>
      <c r="G41" s="191"/>
      <c r="H41" s="191"/>
      <c r="I41" s="191"/>
      <c r="J41" s="191"/>
      <c r="K41" s="191"/>
      <c r="L41" s="47"/>
      <c r="M41" s="26"/>
    </row>
    <row r="42" spans="1:26" ht="15.6">
      <c r="D42" s="33" t="s">
        <v>82</v>
      </c>
      <c r="E42" s="21"/>
      <c r="F42" s="32"/>
      <c r="G42" s="18">
        <v>3.64</v>
      </c>
      <c r="L42" s="46"/>
    </row>
    <row r="43" spans="1:26">
      <c r="B43" s="104" t="s">
        <v>156</v>
      </c>
      <c r="C43" s="104"/>
      <c r="D43" s="48" t="s">
        <v>83</v>
      </c>
    </row>
    <row r="44" spans="1:26">
      <c r="A44" s="85" t="s">
        <v>189</v>
      </c>
      <c r="B44" s="109" t="s">
        <v>52</v>
      </c>
      <c r="C44" s="87">
        <f>+'Notice de calcul'!U68</f>
        <v>0</v>
      </c>
      <c r="D44" s="23">
        <f>C44*600*600/1000/1000</f>
        <v>0</v>
      </c>
      <c r="E44" s="23">
        <f t="shared" ref="E44:J45" si="11">+$D44*E14/$K14</f>
        <v>0</v>
      </c>
      <c r="F44" s="86">
        <f t="shared" si="11"/>
        <v>0</v>
      </c>
      <c r="G44" s="86">
        <f t="shared" si="11"/>
        <v>0</v>
      </c>
      <c r="H44" s="86">
        <f t="shared" si="11"/>
        <v>0</v>
      </c>
      <c r="I44" s="86">
        <f t="shared" si="11"/>
        <v>0</v>
      </c>
      <c r="J44" s="86">
        <f t="shared" si="11"/>
        <v>0</v>
      </c>
    </row>
    <row r="45" spans="1:26" s="85" customFormat="1">
      <c r="A45" s="85" t="s">
        <v>190</v>
      </c>
      <c r="B45" s="109" t="s">
        <v>52</v>
      </c>
      <c r="C45" s="87">
        <f>'Notice de calcul'!W68</f>
        <v>0</v>
      </c>
      <c r="D45" s="86">
        <f>C45*600*600/1000/1000</f>
        <v>0</v>
      </c>
      <c r="E45" s="86">
        <f t="shared" si="11"/>
        <v>0</v>
      </c>
      <c r="F45" s="86">
        <f t="shared" si="11"/>
        <v>0</v>
      </c>
      <c r="G45" s="86">
        <f t="shared" si="11"/>
        <v>0</v>
      </c>
      <c r="H45" s="86">
        <f t="shared" si="11"/>
        <v>0</v>
      </c>
      <c r="I45" s="86">
        <f t="shared" si="11"/>
        <v>0</v>
      </c>
      <c r="J45" s="86">
        <f t="shared" si="11"/>
        <v>0</v>
      </c>
    </row>
    <row r="46" spans="1:26" s="85" customFormat="1">
      <c r="A46" s="85" t="s">
        <v>189</v>
      </c>
      <c r="B46" s="109" t="s">
        <v>169</v>
      </c>
      <c r="C46" s="87">
        <f>+'Notice de calcul'!U69</f>
        <v>0</v>
      </c>
      <c r="D46" s="86">
        <f>C46*600*1200/1000/1000</f>
        <v>0</v>
      </c>
      <c r="E46" s="86">
        <f t="shared" ref="E46:J47" si="12">+$D46*E14/$K14</f>
        <v>0</v>
      </c>
      <c r="F46" s="86">
        <f t="shared" si="12"/>
        <v>0</v>
      </c>
      <c r="G46" s="86">
        <f t="shared" si="12"/>
        <v>0</v>
      </c>
      <c r="H46" s="86">
        <f t="shared" si="12"/>
        <v>0</v>
      </c>
      <c r="I46" s="86">
        <f t="shared" si="12"/>
        <v>0</v>
      </c>
      <c r="J46" s="86">
        <f t="shared" si="12"/>
        <v>0</v>
      </c>
    </row>
    <row r="47" spans="1:26" s="85" customFormat="1">
      <c r="A47" s="85" t="s">
        <v>190</v>
      </c>
      <c r="B47" s="109" t="s">
        <v>169</v>
      </c>
      <c r="C47" s="87">
        <f>+'Notice de calcul'!W69</f>
        <v>0</v>
      </c>
      <c r="D47" s="86">
        <f>C47*600*1200/1000/1000</f>
        <v>0</v>
      </c>
      <c r="E47" s="86">
        <f t="shared" si="12"/>
        <v>0</v>
      </c>
      <c r="F47" s="86">
        <f t="shared" si="12"/>
        <v>0</v>
      </c>
      <c r="G47" s="86">
        <f t="shared" si="12"/>
        <v>0</v>
      </c>
      <c r="H47" s="86">
        <f t="shared" si="12"/>
        <v>0</v>
      </c>
      <c r="I47" s="86">
        <f t="shared" si="12"/>
        <v>0</v>
      </c>
      <c r="J47" s="86">
        <f t="shared" si="12"/>
        <v>0</v>
      </c>
    </row>
    <row r="48" spans="1:26" s="85" customFormat="1">
      <c r="B48" s="104" t="s">
        <v>420</v>
      </c>
      <c r="C48" s="87"/>
      <c r="D48" s="86"/>
      <c r="E48" s="86"/>
      <c r="F48" s="86"/>
      <c r="G48" s="86"/>
      <c r="H48" s="86"/>
      <c r="I48" s="86"/>
      <c r="J48" s="86"/>
    </row>
    <row r="49" spans="1:10" s="85" customFormat="1">
      <c r="A49" s="85" t="s">
        <v>190</v>
      </c>
      <c r="B49" s="109" t="s">
        <v>426</v>
      </c>
      <c r="C49" s="87">
        <f>+'Notice de calcul'!Z61</f>
        <v>0</v>
      </c>
      <c r="D49" s="86">
        <f>C49*1229/1000</f>
        <v>0</v>
      </c>
      <c r="E49" s="86">
        <f>+$D49*E15/$K15</f>
        <v>0</v>
      </c>
      <c r="F49" s="86">
        <f>+$D49*F15/$K15</f>
        <v>0</v>
      </c>
      <c r="G49" s="86">
        <f t="shared" ref="G49:J49" si="13">+$D49*G15/$K15</f>
        <v>0</v>
      </c>
      <c r="H49" s="86">
        <f t="shared" si="13"/>
        <v>0</v>
      </c>
      <c r="I49" s="86">
        <f t="shared" si="13"/>
        <v>0</v>
      </c>
      <c r="J49" s="86">
        <f t="shared" si="13"/>
        <v>0</v>
      </c>
    </row>
    <row r="50" spans="1:10" s="85" customFormat="1">
      <c r="A50" s="85" t="s">
        <v>190</v>
      </c>
      <c r="B50" s="109" t="s">
        <v>425</v>
      </c>
      <c r="C50" s="87">
        <f>+'Notice de calcul'!AA61</f>
        <v>0</v>
      </c>
      <c r="D50" s="86">
        <f>C50*1229/1000</f>
        <v>0</v>
      </c>
      <c r="E50" s="86">
        <f>+$D50*E36/$K36</f>
        <v>0</v>
      </c>
      <c r="F50" s="86">
        <f>+$D50*F36/$K36</f>
        <v>0</v>
      </c>
      <c r="G50" s="86">
        <f t="shared" ref="G50:J50" si="14">+$D50*G36/$K36</f>
        <v>0</v>
      </c>
      <c r="H50" s="86">
        <f t="shared" si="14"/>
        <v>0</v>
      </c>
      <c r="I50" s="86">
        <f t="shared" si="14"/>
        <v>0</v>
      </c>
      <c r="J50" s="86">
        <f t="shared" si="14"/>
        <v>0</v>
      </c>
    </row>
    <row r="51" spans="1:10" s="85" customFormat="1">
      <c r="A51" s="85" t="s">
        <v>190</v>
      </c>
      <c r="B51" s="109" t="s">
        <v>421</v>
      </c>
      <c r="C51" s="87">
        <f>+'Notice de calcul'!U61</f>
        <v>0</v>
      </c>
      <c r="D51" s="86">
        <f>C51*923/1000</f>
        <v>0</v>
      </c>
      <c r="E51" s="86">
        <f>+$D51*E15/$K15</f>
        <v>0</v>
      </c>
      <c r="F51" s="86">
        <f t="shared" ref="F51:J51" si="15">+$D51*F15/$K15</f>
        <v>0</v>
      </c>
      <c r="G51" s="86">
        <f t="shared" si="15"/>
        <v>0</v>
      </c>
      <c r="H51" s="86">
        <f t="shared" si="15"/>
        <v>0</v>
      </c>
      <c r="I51" s="86">
        <f t="shared" si="15"/>
        <v>0</v>
      </c>
      <c r="J51" s="86">
        <f t="shared" si="15"/>
        <v>0</v>
      </c>
    </row>
    <row r="52" spans="1:10" s="85" customFormat="1">
      <c r="A52" s="85" t="s">
        <v>190</v>
      </c>
      <c r="B52" s="109" t="s">
        <v>422</v>
      </c>
      <c r="C52" s="87">
        <f>+'Notice de calcul'!V61</f>
        <v>0</v>
      </c>
      <c r="D52" s="86">
        <f>C52*923/1000</f>
        <v>0</v>
      </c>
      <c r="E52" s="86">
        <f>+$D52*E36/$K36</f>
        <v>0</v>
      </c>
      <c r="F52" s="86">
        <f t="shared" ref="F52:J52" si="16">+$D52*F36/$K36</f>
        <v>0</v>
      </c>
      <c r="G52" s="86">
        <f t="shared" si="16"/>
        <v>0</v>
      </c>
      <c r="H52" s="86">
        <f t="shared" si="16"/>
        <v>0</v>
      </c>
      <c r="I52" s="86">
        <f t="shared" si="16"/>
        <v>0</v>
      </c>
      <c r="J52" s="86">
        <f t="shared" si="16"/>
        <v>0</v>
      </c>
    </row>
    <row r="53" spans="1:10" s="85" customFormat="1">
      <c r="A53" s="85" t="s">
        <v>190</v>
      </c>
      <c r="B53" s="109" t="s">
        <v>423</v>
      </c>
      <c r="C53" s="87">
        <f>'Notice de calcul'!V62</f>
        <v>0</v>
      </c>
      <c r="D53" s="86">
        <f>C53*940/1000</f>
        <v>0</v>
      </c>
      <c r="E53" s="86">
        <f>+$D53*E36/$K36</f>
        <v>0</v>
      </c>
      <c r="F53" s="86">
        <f t="shared" ref="F53:J53" si="17">+$D53*F36/$K36</f>
        <v>0</v>
      </c>
      <c r="G53" s="86">
        <f t="shared" si="17"/>
        <v>0</v>
      </c>
      <c r="H53" s="86">
        <f t="shared" si="17"/>
        <v>0</v>
      </c>
      <c r="I53" s="86">
        <f t="shared" si="17"/>
        <v>0</v>
      </c>
      <c r="J53" s="86">
        <f t="shared" si="17"/>
        <v>0</v>
      </c>
    </row>
    <row r="54" spans="1:10" s="85" customFormat="1">
      <c r="A54" s="85" t="s">
        <v>190</v>
      </c>
      <c r="B54" s="109" t="s">
        <v>424</v>
      </c>
      <c r="C54" s="87">
        <f>'Notice de calcul'!AA62</f>
        <v>0</v>
      </c>
      <c r="D54" s="86">
        <f>C54*780/1000</f>
        <v>0</v>
      </c>
      <c r="E54" s="86">
        <f>+$D54*E36/$K36</f>
        <v>0</v>
      </c>
      <c r="F54" s="86">
        <f t="shared" ref="F54:J54" si="18">+$D54*F36/$K36</f>
        <v>0</v>
      </c>
      <c r="G54" s="86">
        <f t="shared" si="18"/>
        <v>0</v>
      </c>
      <c r="H54" s="86">
        <f t="shared" si="18"/>
        <v>0</v>
      </c>
      <c r="I54" s="86">
        <f t="shared" si="18"/>
        <v>0</v>
      </c>
      <c r="J54" s="86">
        <f t="shared" si="18"/>
        <v>0</v>
      </c>
    </row>
    <row r="55" spans="1:10" ht="13.5" customHeight="1">
      <c r="B55" s="104" t="s">
        <v>51</v>
      </c>
      <c r="C55" s="104"/>
      <c r="E55" s="111"/>
      <c r="F55" s="111"/>
      <c r="G55" s="111"/>
      <c r="H55" s="111"/>
      <c r="I55" s="111"/>
      <c r="J55" s="111"/>
    </row>
    <row r="56" spans="1:10" s="85" customFormat="1" ht="13.5" customHeight="1">
      <c r="B56" s="109" t="s">
        <v>151</v>
      </c>
      <c r="C56" s="87">
        <f>+'Notice de calcul'!L52</f>
        <v>0</v>
      </c>
      <c r="D56" s="86">
        <f>C56*300*1195/1000/1000</f>
        <v>0</v>
      </c>
      <c r="E56" s="86">
        <f t="shared" ref="E56:J58" si="19">+$D56*E$16/$K$16</f>
        <v>0</v>
      </c>
      <c r="F56" s="86">
        <f t="shared" si="19"/>
        <v>0</v>
      </c>
      <c r="G56" s="86">
        <f t="shared" si="19"/>
        <v>0</v>
      </c>
      <c r="H56" s="86">
        <f t="shared" si="19"/>
        <v>0</v>
      </c>
      <c r="I56" s="86">
        <f t="shared" si="19"/>
        <v>0</v>
      </c>
      <c r="J56" s="86">
        <f t="shared" si="19"/>
        <v>0</v>
      </c>
    </row>
    <row r="57" spans="1:10" s="85" customFormat="1" ht="13.5" customHeight="1">
      <c r="B57" s="109" t="s">
        <v>152</v>
      </c>
      <c r="C57" s="87">
        <f>+'Notice de calcul'!L53</f>
        <v>0</v>
      </c>
      <c r="D57" s="86">
        <f>C57*300*1795/1000/1000</f>
        <v>0</v>
      </c>
      <c r="E57" s="86">
        <f t="shared" si="19"/>
        <v>0</v>
      </c>
      <c r="F57" s="86">
        <f t="shared" si="19"/>
        <v>0</v>
      </c>
      <c r="G57" s="86">
        <f t="shared" si="19"/>
        <v>0</v>
      </c>
      <c r="H57" s="86">
        <f t="shared" si="19"/>
        <v>0</v>
      </c>
      <c r="I57" s="86">
        <f t="shared" si="19"/>
        <v>0</v>
      </c>
      <c r="J57" s="86">
        <f t="shared" si="19"/>
        <v>0</v>
      </c>
    </row>
    <row r="58" spans="1:10" s="85" customFormat="1" ht="13.5" customHeight="1">
      <c r="B58" s="109" t="s">
        <v>153</v>
      </c>
      <c r="C58" s="87">
        <f>+'Notice de calcul'!L54</f>
        <v>0</v>
      </c>
      <c r="D58" s="86">
        <f>C58*300*2390/1000/1000</f>
        <v>0</v>
      </c>
      <c r="E58" s="86">
        <f t="shared" si="19"/>
        <v>0</v>
      </c>
      <c r="F58" s="86">
        <f t="shared" si="19"/>
        <v>0</v>
      </c>
      <c r="G58" s="86">
        <f t="shared" si="19"/>
        <v>0</v>
      </c>
      <c r="H58" s="86">
        <f t="shared" si="19"/>
        <v>0</v>
      </c>
      <c r="I58" s="86">
        <f t="shared" si="19"/>
        <v>0</v>
      </c>
      <c r="J58" s="86">
        <f t="shared" si="19"/>
        <v>0</v>
      </c>
    </row>
    <row r="59" spans="1:10" ht="13.5" customHeight="1">
      <c r="B59" s="109" t="s">
        <v>52</v>
      </c>
      <c r="C59" s="87">
        <f>+'Notice de calcul'!L55</f>
        <v>0</v>
      </c>
      <c r="D59" s="86">
        <f>C59*600*600/1000/1000</f>
        <v>0</v>
      </c>
      <c r="E59" s="86">
        <f>+$D59*E$16/$K$16</f>
        <v>0</v>
      </c>
      <c r="F59" s="86">
        <f t="shared" ref="F59:J69" si="20">+$D59*F$16/$K$16</f>
        <v>0</v>
      </c>
      <c r="G59" s="86">
        <f t="shared" si="20"/>
        <v>0</v>
      </c>
      <c r="H59" s="86">
        <f t="shared" si="20"/>
        <v>0</v>
      </c>
      <c r="I59" s="86">
        <f t="shared" si="20"/>
        <v>0</v>
      </c>
      <c r="J59" s="86">
        <f>+$D59*J$16/$K$16</f>
        <v>0</v>
      </c>
    </row>
    <row r="60" spans="1:10">
      <c r="B60" s="109" t="s">
        <v>53</v>
      </c>
      <c r="C60" s="87">
        <f>+'Notice de calcul'!L56</f>
        <v>0</v>
      </c>
      <c r="D60" s="86">
        <f>C60*600*1195/1000/1000</f>
        <v>0</v>
      </c>
      <c r="E60" s="86">
        <f t="shared" ref="E60:E69" si="21">+$D60*E$16/$K$16</f>
        <v>0</v>
      </c>
      <c r="F60" s="86">
        <f t="shared" si="20"/>
        <v>0</v>
      </c>
      <c r="G60" s="86">
        <f t="shared" si="20"/>
        <v>0</v>
      </c>
      <c r="H60" s="86">
        <f t="shared" si="20"/>
        <v>0</v>
      </c>
      <c r="I60" s="86">
        <f t="shared" si="20"/>
        <v>0</v>
      </c>
      <c r="J60" s="86">
        <f t="shared" si="20"/>
        <v>0</v>
      </c>
    </row>
    <row r="61" spans="1:10">
      <c r="B61" s="109" t="s">
        <v>54</v>
      </c>
      <c r="C61" s="87">
        <f>+'Notice de calcul'!L57</f>
        <v>0</v>
      </c>
      <c r="D61" s="86">
        <f>C61*1195*1195/1000/1000</f>
        <v>0</v>
      </c>
      <c r="E61" s="86">
        <f t="shared" si="21"/>
        <v>0</v>
      </c>
      <c r="F61" s="86">
        <f t="shared" si="20"/>
        <v>0</v>
      </c>
      <c r="G61" s="86">
        <f>+$D61*G$16/$K$16</f>
        <v>0</v>
      </c>
      <c r="H61" s="86">
        <f t="shared" si="20"/>
        <v>0</v>
      </c>
      <c r="I61" s="86">
        <f t="shared" si="20"/>
        <v>0</v>
      </c>
      <c r="J61" s="86">
        <f t="shared" si="20"/>
        <v>0</v>
      </c>
    </row>
    <row r="62" spans="1:10">
      <c r="B62" s="109" t="s">
        <v>55</v>
      </c>
      <c r="C62" s="87">
        <f>+'Notice de calcul'!L58</f>
        <v>0</v>
      </c>
      <c r="D62" s="86">
        <f>C62*600*1795/1000/1000</f>
        <v>0</v>
      </c>
      <c r="E62" s="86">
        <f t="shared" si="21"/>
        <v>0</v>
      </c>
      <c r="F62" s="86">
        <f t="shared" si="20"/>
        <v>0</v>
      </c>
      <c r="G62" s="86">
        <f t="shared" si="20"/>
        <v>0</v>
      </c>
      <c r="H62" s="86">
        <f t="shared" si="20"/>
        <v>0</v>
      </c>
      <c r="I62" s="86">
        <f t="shared" si="20"/>
        <v>0</v>
      </c>
      <c r="J62" s="86">
        <f t="shared" si="20"/>
        <v>0</v>
      </c>
    </row>
    <row r="63" spans="1:10">
      <c r="B63" s="109" t="s">
        <v>56</v>
      </c>
      <c r="C63" s="87">
        <f>+'Notice de calcul'!L59</f>
        <v>0</v>
      </c>
      <c r="D63" s="86">
        <f>C63*600*2390/1000/1000</f>
        <v>0</v>
      </c>
      <c r="E63" s="86">
        <f t="shared" si="21"/>
        <v>0</v>
      </c>
      <c r="F63" s="86">
        <f t="shared" si="20"/>
        <v>0</v>
      </c>
      <c r="G63" s="86">
        <f t="shared" si="20"/>
        <v>0</v>
      </c>
      <c r="H63" s="86">
        <f t="shared" si="20"/>
        <v>0</v>
      </c>
      <c r="I63" s="86">
        <f t="shared" si="20"/>
        <v>0</v>
      </c>
      <c r="J63" s="86">
        <f t="shared" si="20"/>
        <v>0</v>
      </c>
    </row>
    <row r="64" spans="1:10" s="85" customFormat="1">
      <c r="B64" s="109" t="s">
        <v>127</v>
      </c>
      <c r="C64" s="87">
        <f>+'Notice de calcul'!L60</f>
        <v>0</v>
      </c>
      <c r="D64" s="86">
        <f>C64*400*1195/1000/1000</f>
        <v>0</v>
      </c>
      <c r="E64" s="86">
        <f t="shared" si="21"/>
        <v>0</v>
      </c>
      <c r="F64" s="86">
        <f t="shared" si="20"/>
        <v>0</v>
      </c>
      <c r="G64" s="86">
        <f t="shared" si="20"/>
        <v>0</v>
      </c>
      <c r="H64" s="86">
        <f t="shared" si="20"/>
        <v>0</v>
      </c>
      <c r="I64" s="86">
        <f t="shared" si="20"/>
        <v>0</v>
      </c>
      <c r="J64" s="86">
        <f t="shared" si="20"/>
        <v>0</v>
      </c>
    </row>
    <row r="65" spans="2:10" s="85" customFormat="1">
      <c r="B65" s="109" t="s">
        <v>143</v>
      </c>
      <c r="C65" s="87">
        <f>+'Notice de calcul'!L62</f>
        <v>0</v>
      </c>
      <c r="D65" s="86">
        <f>C65*495*1500/1000/1000</f>
        <v>0</v>
      </c>
      <c r="E65" s="86">
        <f t="shared" si="21"/>
        <v>0</v>
      </c>
      <c r="F65" s="86">
        <f t="shared" si="20"/>
        <v>0</v>
      </c>
      <c r="G65" s="86">
        <f t="shared" si="20"/>
        <v>0</v>
      </c>
      <c r="H65" s="86">
        <f t="shared" si="20"/>
        <v>0</v>
      </c>
      <c r="I65" s="86">
        <f t="shared" si="20"/>
        <v>0</v>
      </c>
      <c r="J65" s="86">
        <f t="shared" si="20"/>
        <v>0</v>
      </c>
    </row>
    <row r="66" spans="2:10" s="85" customFormat="1">
      <c r="B66" s="109" t="s">
        <v>144</v>
      </c>
      <c r="C66" s="87">
        <f>+'Notice de calcul'!L63</f>
        <v>0</v>
      </c>
      <c r="D66" s="86">
        <f>C66*495*1700/1000/1000</f>
        <v>0</v>
      </c>
      <c r="E66" s="86">
        <f t="shared" si="21"/>
        <v>0</v>
      </c>
      <c r="F66" s="86">
        <f t="shared" si="20"/>
        <v>0</v>
      </c>
      <c r="G66" s="86">
        <f t="shared" si="20"/>
        <v>0</v>
      </c>
      <c r="H66" s="86">
        <f t="shared" si="20"/>
        <v>0</v>
      </c>
      <c r="I66" s="86">
        <f t="shared" si="20"/>
        <v>0</v>
      </c>
      <c r="J66" s="86">
        <f t="shared" si="20"/>
        <v>0</v>
      </c>
    </row>
    <row r="67" spans="2:10" s="85" customFormat="1">
      <c r="B67" s="109" t="s">
        <v>209</v>
      </c>
      <c r="C67" s="87">
        <f>+'Notice de calcul'!L61</f>
        <v>0</v>
      </c>
      <c r="D67" s="86">
        <f>C67*495*600/1000/1000</f>
        <v>0</v>
      </c>
      <c r="E67" s="86">
        <f t="shared" si="21"/>
        <v>0</v>
      </c>
      <c r="F67" s="86">
        <f t="shared" si="20"/>
        <v>0</v>
      </c>
      <c r="G67" s="86">
        <f t="shared" si="20"/>
        <v>0</v>
      </c>
      <c r="H67" s="86">
        <f t="shared" si="20"/>
        <v>0</v>
      </c>
      <c r="I67" s="86">
        <f t="shared" si="20"/>
        <v>0</v>
      </c>
      <c r="J67" s="86">
        <f t="shared" si="20"/>
        <v>0</v>
      </c>
    </row>
    <row r="68" spans="2:10" s="85" customFormat="1">
      <c r="B68" s="109" t="s">
        <v>128</v>
      </c>
      <c r="C68" s="87">
        <f>+'Notice de calcul'!L64</f>
        <v>0</v>
      </c>
      <c r="D68" s="86">
        <f>C68*1795*1195/1000/1000</f>
        <v>0</v>
      </c>
      <c r="E68" s="86">
        <f t="shared" si="21"/>
        <v>0</v>
      </c>
      <c r="F68" s="86">
        <f t="shared" si="20"/>
        <v>0</v>
      </c>
      <c r="G68" s="86">
        <f t="shared" si="20"/>
        <v>0</v>
      </c>
      <c r="H68" s="86">
        <f t="shared" si="20"/>
        <v>0</v>
      </c>
      <c r="I68" s="86">
        <f t="shared" si="20"/>
        <v>0</v>
      </c>
      <c r="J68" s="86">
        <f t="shared" si="20"/>
        <v>0</v>
      </c>
    </row>
    <row r="69" spans="2:10" s="85" customFormat="1">
      <c r="B69" s="109" t="s">
        <v>129</v>
      </c>
      <c r="C69" s="87">
        <f>+'Notice de calcul'!L65</f>
        <v>0</v>
      </c>
      <c r="D69" s="86">
        <f>C69*2390*1195/1000/1000</f>
        <v>0</v>
      </c>
      <c r="E69" s="86">
        <f t="shared" si="21"/>
        <v>0</v>
      </c>
      <c r="F69" s="86">
        <f t="shared" si="20"/>
        <v>0</v>
      </c>
      <c r="G69" s="86">
        <f t="shared" si="20"/>
        <v>0</v>
      </c>
      <c r="H69" s="86">
        <f t="shared" si="20"/>
        <v>0</v>
      </c>
      <c r="I69" s="86">
        <f t="shared" si="20"/>
        <v>0</v>
      </c>
      <c r="J69" s="86">
        <f t="shared" si="20"/>
        <v>0</v>
      </c>
    </row>
    <row r="70" spans="2:10" ht="7.5" customHeight="1">
      <c r="B70" s="109"/>
      <c r="C70" s="110"/>
      <c r="E70" s="23"/>
    </row>
    <row r="71" spans="2:10">
      <c r="B71" s="104" t="s">
        <v>50</v>
      </c>
      <c r="C71" s="104"/>
      <c r="E71" s="23"/>
    </row>
    <row r="72" spans="2:10" s="85" customFormat="1" ht="13.5" customHeight="1">
      <c r="B72" s="109" t="s">
        <v>151</v>
      </c>
      <c r="C72" s="87">
        <f>'Notice de calcul'!M52</f>
        <v>0</v>
      </c>
      <c r="D72" s="86">
        <f>C72*300*1195/1000/1000</f>
        <v>0</v>
      </c>
      <c r="E72" s="86">
        <f>+$D72*E$17/$K$17</f>
        <v>0</v>
      </c>
      <c r="F72" s="86">
        <f t="shared" ref="E72:J74" si="22">+$D72*F$17/$K$17</f>
        <v>0</v>
      </c>
      <c r="G72" s="86">
        <f t="shared" si="22"/>
        <v>0</v>
      </c>
      <c r="H72" s="86">
        <f t="shared" si="22"/>
        <v>0</v>
      </c>
      <c r="I72" s="86">
        <f t="shared" si="22"/>
        <v>0</v>
      </c>
      <c r="J72" s="86">
        <f t="shared" si="22"/>
        <v>0</v>
      </c>
    </row>
    <row r="73" spans="2:10" s="85" customFormat="1" ht="13.5" customHeight="1">
      <c r="B73" s="109" t="s">
        <v>152</v>
      </c>
      <c r="C73" s="87">
        <f>'Notice de calcul'!M53</f>
        <v>0</v>
      </c>
      <c r="D73" s="86">
        <f>C73*300*1795/1000/1000</f>
        <v>0</v>
      </c>
      <c r="E73" s="86">
        <f t="shared" si="22"/>
        <v>0</v>
      </c>
      <c r="F73" s="86">
        <f t="shared" si="22"/>
        <v>0</v>
      </c>
      <c r="G73" s="86">
        <f t="shared" si="22"/>
        <v>0</v>
      </c>
      <c r="H73" s="86">
        <f t="shared" si="22"/>
        <v>0</v>
      </c>
      <c r="I73" s="86">
        <f t="shared" si="22"/>
        <v>0</v>
      </c>
      <c r="J73" s="86">
        <f t="shared" si="22"/>
        <v>0</v>
      </c>
    </row>
    <row r="74" spans="2:10" s="85" customFormat="1" ht="13.5" customHeight="1">
      <c r="B74" s="109" t="s">
        <v>153</v>
      </c>
      <c r="C74" s="87">
        <f>'Notice de calcul'!M54</f>
        <v>0</v>
      </c>
      <c r="D74" s="86">
        <f>C74*300*2390/1000/1000</f>
        <v>0</v>
      </c>
      <c r="E74" s="86">
        <f t="shared" si="22"/>
        <v>0</v>
      </c>
      <c r="F74" s="86">
        <f t="shared" si="22"/>
        <v>0</v>
      </c>
      <c r="G74" s="86">
        <f t="shared" si="22"/>
        <v>0</v>
      </c>
      <c r="H74" s="86">
        <f t="shared" si="22"/>
        <v>0</v>
      </c>
      <c r="I74" s="86">
        <f t="shared" si="22"/>
        <v>0</v>
      </c>
      <c r="J74" s="86">
        <f t="shared" si="22"/>
        <v>0</v>
      </c>
    </row>
    <row r="75" spans="2:10">
      <c r="B75" s="109" t="s">
        <v>52</v>
      </c>
      <c r="C75" s="87">
        <f>'Notice de calcul'!M55</f>
        <v>0</v>
      </c>
      <c r="D75" s="86">
        <f>C75*600*600/1000/1000</f>
        <v>0</v>
      </c>
      <c r="E75" s="86">
        <f>+$D75*E$17/$K$17</f>
        <v>0</v>
      </c>
      <c r="F75" s="86">
        <f t="shared" ref="F75:J85" si="23">+$D75*F$17/$K$17</f>
        <v>0</v>
      </c>
      <c r="G75" s="86">
        <f t="shared" si="23"/>
        <v>0</v>
      </c>
      <c r="H75" s="86">
        <f t="shared" si="23"/>
        <v>0</v>
      </c>
      <c r="I75" s="86">
        <f t="shared" si="23"/>
        <v>0</v>
      </c>
      <c r="J75" s="86">
        <f t="shared" si="23"/>
        <v>0</v>
      </c>
    </row>
    <row r="76" spans="2:10">
      <c r="B76" s="109" t="s">
        <v>53</v>
      </c>
      <c r="C76" s="87">
        <f>'Notice de calcul'!M56</f>
        <v>0</v>
      </c>
      <c r="D76" s="86">
        <f>C76*600*1195/1000/1000</f>
        <v>0</v>
      </c>
      <c r="E76" s="86">
        <f t="shared" ref="E76:E85" si="24">+$D76*E$17/$K$17</f>
        <v>0</v>
      </c>
      <c r="F76" s="86">
        <f t="shared" si="23"/>
        <v>0</v>
      </c>
      <c r="G76" s="86">
        <f t="shared" si="23"/>
        <v>0</v>
      </c>
      <c r="H76" s="86">
        <f t="shared" si="23"/>
        <v>0</v>
      </c>
      <c r="I76" s="86">
        <f t="shared" si="23"/>
        <v>0</v>
      </c>
      <c r="J76" s="86">
        <f t="shared" si="23"/>
        <v>0</v>
      </c>
    </row>
    <row r="77" spans="2:10">
      <c r="B77" s="109" t="s">
        <v>54</v>
      </c>
      <c r="C77" s="87">
        <f>'Notice de calcul'!M57</f>
        <v>0</v>
      </c>
      <c r="D77" s="86">
        <f>C77*1195*1195/1000/1000</f>
        <v>0</v>
      </c>
      <c r="E77" s="86">
        <f t="shared" si="24"/>
        <v>0</v>
      </c>
      <c r="F77" s="86">
        <f t="shared" si="23"/>
        <v>0</v>
      </c>
      <c r="G77" s="86">
        <f t="shared" si="23"/>
        <v>0</v>
      </c>
      <c r="H77" s="86">
        <f t="shared" si="23"/>
        <v>0</v>
      </c>
      <c r="I77" s="86">
        <f t="shared" si="23"/>
        <v>0</v>
      </c>
      <c r="J77" s="86">
        <f t="shared" si="23"/>
        <v>0</v>
      </c>
    </row>
    <row r="78" spans="2:10">
      <c r="B78" s="109" t="s">
        <v>55</v>
      </c>
      <c r="C78" s="87">
        <f>'Notice de calcul'!M58</f>
        <v>0</v>
      </c>
      <c r="D78" s="86">
        <f>C78*600*1795/1000/1000</f>
        <v>0</v>
      </c>
      <c r="E78" s="86">
        <f t="shared" si="24"/>
        <v>0</v>
      </c>
      <c r="F78" s="86">
        <f t="shared" si="23"/>
        <v>0</v>
      </c>
      <c r="G78" s="86">
        <f t="shared" si="23"/>
        <v>0</v>
      </c>
      <c r="H78" s="86">
        <f t="shared" si="23"/>
        <v>0</v>
      </c>
      <c r="I78" s="86">
        <f t="shared" si="23"/>
        <v>0</v>
      </c>
      <c r="J78" s="86">
        <f t="shared" si="23"/>
        <v>0</v>
      </c>
    </row>
    <row r="79" spans="2:10">
      <c r="B79" s="109" t="s">
        <v>56</v>
      </c>
      <c r="C79" s="87">
        <f>'Notice de calcul'!M59</f>
        <v>0</v>
      </c>
      <c r="D79" s="86">
        <f>C79*600*2390/1000/1000</f>
        <v>0</v>
      </c>
      <c r="E79" s="86">
        <f t="shared" si="24"/>
        <v>0</v>
      </c>
      <c r="F79" s="86">
        <f t="shared" si="23"/>
        <v>0</v>
      </c>
      <c r="G79" s="86">
        <f t="shared" si="23"/>
        <v>0</v>
      </c>
      <c r="H79" s="86">
        <f t="shared" si="23"/>
        <v>0</v>
      </c>
      <c r="I79" s="86">
        <f t="shared" si="23"/>
        <v>0</v>
      </c>
      <c r="J79" s="86">
        <f t="shared" si="23"/>
        <v>0</v>
      </c>
    </row>
    <row r="80" spans="2:10" s="85" customFormat="1">
      <c r="B80" s="109" t="s">
        <v>127</v>
      </c>
      <c r="C80" s="87">
        <f>'Notice de calcul'!M60</f>
        <v>0</v>
      </c>
      <c r="D80" s="86">
        <f>C80*400*1195/1000/1000</f>
        <v>0</v>
      </c>
      <c r="E80" s="86">
        <f t="shared" si="24"/>
        <v>0</v>
      </c>
      <c r="F80" s="86">
        <f t="shared" si="23"/>
        <v>0</v>
      </c>
      <c r="G80" s="86">
        <f t="shared" si="23"/>
        <v>0</v>
      </c>
      <c r="H80" s="86">
        <f t="shared" si="23"/>
        <v>0</v>
      </c>
      <c r="I80" s="86">
        <f t="shared" si="23"/>
        <v>0</v>
      </c>
      <c r="J80" s="86">
        <f t="shared" si="23"/>
        <v>0</v>
      </c>
    </row>
    <row r="81" spans="2:19" s="85" customFormat="1">
      <c r="B81" s="109" t="s">
        <v>143</v>
      </c>
      <c r="C81" s="87">
        <f>'Notice de calcul'!M62</f>
        <v>0</v>
      </c>
      <c r="D81" s="86">
        <f>C81*495*1500/1000/1000</f>
        <v>0</v>
      </c>
      <c r="E81" s="86">
        <f t="shared" si="24"/>
        <v>0</v>
      </c>
      <c r="F81" s="86">
        <f t="shared" si="23"/>
        <v>0</v>
      </c>
      <c r="G81" s="86">
        <f t="shared" si="23"/>
        <v>0</v>
      </c>
      <c r="H81" s="86">
        <f t="shared" si="23"/>
        <v>0</v>
      </c>
      <c r="I81" s="86">
        <f t="shared" si="23"/>
        <v>0</v>
      </c>
      <c r="J81" s="86">
        <f t="shared" si="23"/>
        <v>0</v>
      </c>
    </row>
    <row r="82" spans="2:19" s="85" customFormat="1">
      <c r="B82" s="109" t="s">
        <v>144</v>
      </c>
      <c r="C82" s="87">
        <f>'Notice de calcul'!M63</f>
        <v>0</v>
      </c>
      <c r="D82" s="86">
        <f>C82*495*1700/1000/1000</f>
        <v>0</v>
      </c>
      <c r="E82" s="86">
        <f t="shared" si="24"/>
        <v>0</v>
      </c>
      <c r="F82" s="86">
        <f t="shared" si="23"/>
        <v>0</v>
      </c>
      <c r="G82" s="86">
        <f t="shared" si="23"/>
        <v>0</v>
      </c>
      <c r="H82" s="86">
        <f t="shared" si="23"/>
        <v>0</v>
      </c>
      <c r="I82" s="86">
        <f t="shared" si="23"/>
        <v>0</v>
      </c>
      <c r="J82" s="86">
        <f t="shared" si="23"/>
        <v>0</v>
      </c>
    </row>
    <row r="83" spans="2:19" s="85" customFormat="1">
      <c r="B83" s="109" t="s">
        <v>209</v>
      </c>
      <c r="C83" s="87">
        <f>+'Notice de calcul'!M61</f>
        <v>0</v>
      </c>
      <c r="D83" s="86">
        <f>C83*495*600/1000/1000</f>
        <v>0</v>
      </c>
      <c r="E83" s="86">
        <f t="shared" si="24"/>
        <v>0</v>
      </c>
      <c r="F83" s="86">
        <f t="shared" si="23"/>
        <v>0</v>
      </c>
      <c r="G83" s="86">
        <f t="shared" si="23"/>
        <v>0</v>
      </c>
      <c r="H83" s="86">
        <f t="shared" si="23"/>
        <v>0</v>
      </c>
      <c r="I83" s="86">
        <f t="shared" si="23"/>
        <v>0</v>
      </c>
      <c r="J83" s="86">
        <f t="shared" si="23"/>
        <v>0</v>
      </c>
    </row>
    <row r="84" spans="2:19" s="85" customFormat="1">
      <c r="B84" s="109" t="s">
        <v>128</v>
      </c>
      <c r="C84" s="87">
        <f>'Notice de calcul'!M64</f>
        <v>0</v>
      </c>
      <c r="D84" s="86">
        <f>C84*1795*1195/1000/1000</f>
        <v>0</v>
      </c>
      <c r="E84" s="86">
        <f t="shared" si="24"/>
        <v>0</v>
      </c>
      <c r="F84" s="86">
        <f t="shared" si="23"/>
        <v>0</v>
      </c>
      <c r="G84" s="86">
        <f t="shared" si="23"/>
        <v>0</v>
      </c>
      <c r="H84" s="86">
        <f t="shared" si="23"/>
        <v>0</v>
      </c>
      <c r="I84" s="86">
        <f t="shared" si="23"/>
        <v>0</v>
      </c>
      <c r="J84" s="86">
        <f t="shared" si="23"/>
        <v>0</v>
      </c>
    </row>
    <row r="85" spans="2:19" s="85" customFormat="1">
      <c r="B85" s="109" t="s">
        <v>129</v>
      </c>
      <c r="C85" s="87">
        <f>'Notice de calcul'!M65</f>
        <v>0</v>
      </c>
      <c r="D85" s="86">
        <f>C85*2390*1195/1000/1000</f>
        <v>0</v>
      </c>
      <c r="E85" s="86">
        <f t="shared" si="24"/>
        <v>0</v>
      </c>
      <c r="F85" s="86">
        <f t="shared" si="23"/>
        <v>0</v>
      </c>
      <c r="G85" s="86">
        <f t="shared" si="23"/>
        <v>0</v>
      </c>
      <c r="H85" s="86">
        <f t="shared" si="23"/>
        <v>0</v>
      </c>
      <c r="I85" s="86">
        <f t="shared" si="23"/>
        <v>0</v>
      </c>
      <c r="J85" s="86">
        <f t="shared" si="23"/>
        <v>0</v>
      </c>
    </row>
    <row r="86" spans="2:19" ht="15" customHeight="1">
      <c r="B86" s="21"/>
      <c r="C86" s="32"/>
      <c r="E86" s="28"/>
      <c r="P86" s="34"/>
      <c r="Q86" s="39"/>
      <c r="R86" s="39"/>
      <c r="S86" s="39"/>
    </row>
    <row r="87" spans="2:19" s="85" customFormat="1">
      <c r="B87" s="295" t="s">
        <v>130</v>
      </c>
      <c r="C87" s="295"/>
      <c r="D87" s="296"/>
      <c r="E87" s="297"/>
      <c r="F87" s="296"/>
      <c r="G87" s="296"/>
      <c r="H87" s="296"/>
      <c r="I87" s="296"/>
      <c r="J87" s="296"/>
      <c r="P87" s="34"/>
      <c r="Q87" s="39"/>
      <c r="R87" s="39"/>
      <c r="S87" s="39"/>
    </row>
    <row r="88" spans="2:19" s="85" customFormat="1">
      <c r="B88" s="298" t="s">
        <v>55</v>
      </c>
      <c r="C88" s="299"/>
      <c r="D88" s="297">
        <f>C88*600*1795/1000/1000</f>
        <v>0</v>
      </c>
      <c r="E88" s="297">
        <f>+$D88*E$27/$K$27</f>
        <v>0</v>
      </c>
      <c r="F88" s="297">
        <f t="shared" ref="F88:J88" si="25">+$D88*F$27/$K$27</f>
        <v>0</v>
      </c>
      <c r="G88" s="297">
        <f t="shared" si="25"/>
        <v>0</v>
      </c>
      <c r="H88" s="297">
        <f t="shared" si="25"/>
        <v>0</v>
      </c>
      <c r="I88" s="297">
        <f t="shared" si="25"/>
        <v>0</v>
      </c>
      <c r="J88" s="297">
        <f t="shared" si="25"/>
        <v>0</v>
      </c>
      <c r="P88" s="34"/>
      <c r="Q88" s="39"/>
      <c r="R88" s="39"/>
      <c r="S88" s="39"/>
    </row>
    <row r="89" spans="2:19" s="85" customFormat="1">
      <c r="B89" s="298" t="s">
        <v>128</v>
      </c>
      <c r="C89" s="299"/>
      <c r="D89" s="297">
        <f>C89*1195*1795/1000/1000</f>
        <v>0</v>
      </c>
      <c r="E89" s="297">
        <f>+$D89*E$26/$K$26</f>
        <v>0</v>
      </c>
      <c r="F89" s="297">
        <f>+$D89*F$26/$K$26</f>
        <v>0</v>
      </c>
      <c r="G89" s="297">
        <f t="shared" ref="G89:J89" si="26">+$D89*G$26/$K$26</f>
        <v>0</v>
      </c>
      <c r="H89" s="297">
        <f t="shared" si="26"/>
        <v>0</v>
      </c>
      <c r="I89" s="297">
        <f t="shared" si="26"/>
        <v>0</v>
      </c>
      <c r="J89" s="297">
        <f t="shared" si="26"/>
        <v>0</v>
      </c>
      <c r="P89" s="34"/>
      <c r="Q89" s="39"/>
      <c r="R89" s="39"/>
      <c r="S89" s="39"/>
    </row>
    <row r="90" spans="2:19" s="85" customFormat="1" ht="4.5" customHeight="1">
      <c r="B90" s="21"/>
      <c r="C90" s="32"/>
      <c r="E90" s="28"/>
      <c r="P90" s="34"/>
      <c r="Q90" s="39"/>
      <c r="R90" s="39"/>
      <c r="S90" s="39"/>
    </row>
    <row r="91" spans="2:19" s="85" customFormat="1">
      <c r="B91" s="104" t="s">
        <v>140</v>
      </c>
      <c r="C91" s="104"/>
      <c r="E91" s="86"/>
      <c r="P91" s="34"/>
      <c r="Q91" s="39"/>
      <c r="R91" s="39"/>
      <c r="S91" s="39"/>
    </row>
    <row r="92" spans="2:19" s="85" customFormat="1">
      <c r="B92" s="109" t="s">
        <v>141</v>
      </c>
      <c r="C92" s="87">
        <f>+'Notice de calcul'!Q55</f>
        <v>0</v>
      </c>
      <c r="D92" s="86">
        <f>C92*310*310*6/1000/1000</f>
        <v>0</v>
      </c>
      <c r="E92" s="86">
        <f t="shared" ref="E92:J92" si="27">+$D92*E$22/$K$22</f>
        <v>0</v>
      </c>
      <c r="F92" s="86">
        <f t="shared" si="27"/>
        <v>0</v>
      </c>
      <c r="G92" s="86">
        <f>+$D92*G$22/$K$22</f>
        <v>0</v>
      </c>
      <c r="H92" s="86">
        <f t="shared" si="27"/>
        <v>0</v>
      </c>
      <c r="I92" s="86">
        <f t="shared" si="27"/>
        <v>0</v>
      </c>
      <c r="J92" s="86">
        <f t="shared" si="27"/>
        <v>0</v>
      </c>
      <c r="P92" s="34"/>
      <c r="Q92" s="39"/>
      <c r="R92" s="39"/>
      <c r="S92" s="39"/>
    </row>
    <row r="93" spans="2:19" s="85" customFormat="1">
      <c r="B93" s="109" t="s">
        <v>142</v>
      </c>
      <c r="C93" s="87">
        <f>+'Notice de calcul'!Q56</f>
        <v>0</v>
      </c>
      <c r="D93" s="67">
        <f>C93*500*500*6/1000/1000</f>
        <v>0</v>
      </c>
      <c r="E93" s="67">
        <f t="shared" ref="E93:J93" si="28">+$D93*E$21/$K$21</f>
        <v>0</v>
      </c>
      <c r="F93" s="67">
        <f t="shared" si="28"/>
        <v>0</v>
      </c>
      <c r="G93" s="67">
        <f t="shared" si="28"/>
        <v>0</v>
      </c>
      <c r="H93" s="67">
        <f t="shared" si="28"/>
        <v>0</v>
      </c>
      <c r="I93" s="67">
        <f t="shared" si="28"/>
        <v>0</v>
      </c>
      <c r="J93" s="67">
        <f t="shared" si="28"/>
        <v>0</v>
      </c>
      <c r="P93" s="34"/>
      <c r="Q93" s="39"/>
      <c r="R93" s="39"/>
      <c r="S93" s="39"/>
    </row>
    <row r="94" spans="2:19" s="85" customFormat="1" ht="4.5" customHeight="1">
      <c r="B94" s="21"/>
      <c r="C94" s="32"/>
      <c r="E94" s="28"/>
      <c r="P94" s="34"/>
      <c r="Q94" s="39"/>
      <c r="R94" s="39"/>
      <c r="S94" s="39"/>
    </row>
    <row r="95" spans="2:19" s="85" customFormat="1">
      <c r="B95" s="104" t="s">
        <v>131</v>
      </c>
      <c r="C95" s="104"/>
      <c r="E95" s="86"/>
      <c r="P95" s="34"/>
      <c r="Q95" s="39"/>
      <c r="R95" s="39"/>
      <c r="S95" s="39"/>
    </row>
    <row r="96" spans="2:19" s="85" customFormat="1">
      <c r="B96" s="109" t="s">
        <v>132</v>
      </c>
      <c r="C96" s="87">
        <f>+'Notice de calcul'!Q58</f>
        <v>0</v>
      </c>
      <c r="D96" s="86">
        <f>C96*1100*390*4/1000/1000</f>
        <v>0</v>
      </c>
      <c r="E96" s="86">
        <f t="shared" ref="E96:J96" si="29">+$D96*E$23/$K$23</f>
        <v>0</v>
      </c>
      <c r="F96" s="86">
        <f>+$D96*F$23/$K$23</f>
        <v>0</v>
      </c>
      <c r="G96" s="86">
        <f t="shared" si="29"/>
        <v>0</v>
      </c>
      <c r="H96" s="86">
        <f t="shared" si="29"/>
        <v>0</v>
      </c>
      <c r="I96" s="86">
        <f t="shared" si="29"/>
        <v>0</v>
      </c>
      <c r="J96" s="86">
        <f t="shared" si="29"/>
        <v>0</v>
      </c>
      <c r="P96" s="34"/>
      <c r="Q96" s="39"/>
      <c r="R96" s="39"/>
      <c r="S96" s="39"/>
    </row>
    <row r="97" spans="2:19" s="85" customFormat="1">
      <c r="B97" s="109" t="s">
        <v>133</v>
      </c>
      <c r="C97" s="87">
        <f>+'Notice de calcul'!Q59</f>
        <v>0</v>
      </c>
      <c r="D97" s="86">
        <f>C97*2000*390*4/1000/1000</f>
        <v>0</v>
      </c>
      <c r="E97" s="86">
        <f t="shared" ref="E97:J97" si="30">+$D97*E$24/$K$24</f>
        <v>0</v>
      </c>
      <c r="F97" s="86">
        <f>+$D97*F$24/$K$24</f>
        <v>0</v>
      </c>
      <c r="G97" s="86">
        <f t="shared" si="30"/>
        <v>0</v>
      </c>
      <c r="H97" s="86">
        <f t="shared" si="30"/>
        <v>0</v>
      </c>
      <c r="I97" s="86">
        <f t="shared" si="30"/>
        <v>0</v>
      </c>
      <c r="J97" s="86">
        <f t="shared" si="30"/>
        <v>0</v>
      </c>
      <c r="P97" s="34"/>
      <c r="Q97" s="39"/>
      <c r="R97" s="39"/>
      <c r="S97" s="39"/>
    </row>
    <row r="98" spans="2:19" s="85" customFormat="1" ht="3.75" customHeight="1">
      <c r="F98" s="87"/>
      <c r="G98" s="86"/>
      <c r="H98" s="86"/>
      <c r="P98" s="34"/>
      <c r="Q98" s="39"/>
      <c r="R98" s="39"/>
      <c r="S98" s="39"/>
    </row>
    <row r="99" spans="2:19" s="85" customFormat="1">
      <c r="B99" s="104" t="s">
        <v>161</v>
      </c>
      <c r="C99" s="104"/>
      <c r="E99" s="86"/>
      <c r="P99" s="34"/>
      <c r="Q99" s="39"/>
      <c r="R99" s="39"/>
      <c r="S99" s="39"/>
    </row>
    <row r="100" spans="2:19" s="85" customFormat="1" ht="13.8">
      <c r="B100" s="1" t="s">
        <v>433</v>
      </c>
      <c r="C100" s="87">
        <f>+'Notice de calcul'!E55</f>
        <v>0</v>
      </c>
      <c r="D100" s="87">
        <f>+$C100*733*1590/1000/1000</f>
        <v>0</v>
      </c>
      <c r="E100" s="86">
        <f t="shared" ref="E100:J104" si="31">+$D100*E$28/$K$28</f>
        <v>0</v>
      </c>
      <c r="F100" s="86">
        <f t="shared" si="31"/>
        <v>0</v>
      </c>
      <c r="G100" s="86">
        <f t="shared" si="31"/>
        <v>0</v>
      </c>
      <c r="H100" s="86">
        <f t="shared" si="31"/>
        <v>0</v>
      </c>
      <c r="I100" s="86">
        <f t="shared" si="31"/>
        <v>0</v>
      </c>
      <c r="J100" s="86">
        <f t="shared" si="31"/>
        <v>0</v>
      </c>
      <c r="P100" s="34"/>
      <c r="Q100" s="39"/>
      <c r="R100" s="39"/>
      <c r="S100" s="39"/>
    </row>
    <row r="101" spans="2:19" s="85" customFormat="1" ht="13.8">
      <c r="B101" s="1" t="s">
        <v>434</v>
      </c>
      <c r="C101" s="87">
        <f>+'Notice de calcul'!E56</f>
        <v>0</v>
      </c>
      <c r="D101" s="87">
        <f>+$C101*933*1590/1000/1000</f>
        <v>0</v>
      </c>
      <c r="E101" s="86">
        <f t="shared" si="31"/>
        <v>0</v>
      </c>
      <c r="F101" s="86">
        <f t="shared" si="31"/>
        <v>0</v>
      </c>
      <c r="G101" s="86">
        <f t="shared" si="31"/>
        <v>0</v>
      </c>
      <c r="H101" s="86">
        <f t="shared" si="31"/>
        <v>0</v>
      </c>
      <c r="I101" s="86">
        <f t="shared" si="31"/>
        <v>0</v>
      </c>
      <c r="J101" s="86">
        <f t="shared" si="31"/>
        <v>0</v>
      </c>
      <c r="P101" s="34"/>
      <c r="Q101" s="39"/>
      <c r="R101" s="39"/>
      <c r="S101" s="39"/>
    </row>
    <row r="102" spans="2:19" s="85" customFormat="1" ht="13.8">
      <c r="B102" s="1" t="s">
        <v>435</v>
      </c>
      <c r="C102" s="87">
        <f>+'Notice de calcul'!E57</f>
        <v>0</v>
      </c>
      <c r="D102" s="87">
        <f>+$C102*1133*1590/1000/1000</f>
        <v>0</v>
      </c>
      <c r="E102" s="86">
        <f t="shared" si="31"/>
        <v>0</v>
      </c>
      <c r="F102" s="86">
        <f t="shared" si="31"/>
        <v>0</v>
      </c>
      <c r="G102" s="86">
        <f t="shared" si="31"/>
        <v>0</v>
      </c>
      <c r="H102" s="86">
        <f t="shared" si="31"/>
        <v>0</v>
      </c>
      <c r="I102" s="86">
        <f t="shared" si="31"/>
        <v>0</v>
      </c>
      <c r="J102" s="86">
        <f t="shared" si="31"/>
        <v>0</v>
      </c>
      <c r="P102" s="34"/>
      <c r="Q102" s="39"/>
      <c r="R102" s="39"/>
      <c r="S102" s="39"/>
    </row>
    <row r="103" spans="2:19" s="85" customFormat="1" ht="13.8">
      <c r="B103" s="1" t="s">
        <v>154</v>
      </c>
      <c r="C103" s="87">
        <f>+'Notice de calcul'!E58</f>
        <v>0</v>
      </c>
      <c r="D103" s="87">
        <f>+$C103*933*1590/1000/1000</f>
        <v>0</v>
      </c>
      <c r="E103" s="86">
        <f t="shared" si="31"/>
        <v>0</v>
      </c>
      <c r="F103" s="86">
        <f t="shared" si="31"/>
        <v>0</v>
      </c>
      <c r="G103" s="86">
        <f t="shared" si="31"/>
        <v>0</v>
      </c>
      <c r="H103" s="86">
        <f t="shared" si="31"/>
        <v>0</v>
      </c>
      <c r="I103" s="86">
        <f t="shared" si="31"/>
        <v>0</v>
      </c>
      <c r="J103" s="86">
        <f t="shared" si="31"/>
        <v>0</v>
      </c>
      <c r="P103" s="34"/>
      <c r="Q103" s="39"/>
      <c r="R103" s="39"/>
      <c r="S103" s="39"/>
    </row>
    <row r="104" spans="2:19" s="85" customFormat="1" ht="13.8">
      <c r="B104" s="1" t="s">
        <v>155</v>
      </c>
      <c r="C104" s="87">
        <f>+'Notice de calcul'!E59</f>
        <v>0</v>
      </c>
      <c r="D104" s="87">
        <f>+$C104*1133*1590/1000/1000</f>
        <v>0</v>
      </c>
      <c r="E104" s="86">
        <f>+$D104*E$28/$K$28</f>
        <v>0</v>
      </c>
      <c r="F104" s="86">
        <f t="shared" si="31"/>
        <v>0</v>
      </c>
      <c r="G104" s="86">
        <f t="shared" si="31"/>
        <v>0</v>
      </c>
      <c r="H104" s="86">
        <f t="shared" si="31"/>
        <v>0</v>
      </c>
      <c r="I104" s="86">
        <f t="shared" si="31"/>
        <v>0</v>
      </c>
      <c r="J104" s="86">
        <f t="shared" si="31"/>
        <v>0</v>
      </c>
      <c r="P104" s="34"/>
      <c r="Q104" s="39"/>
      <c r="R104" s="39"/>
      <c r="S104" s="39"/>
    </row>
    <row r="105" spans="2:19" s="85" customFormat="1">
      <c r="B105" s="104" t="s">
        <v>162</v>
      </c>
      <c r="D105" s="87"/>
      <c r="E105" s="87"/>
      <c r="F105" s="87"/>
      <c r="G105" s="87"/>
      <c r="H105" s="87"/>
      <c r="I105" s="87"/>
      <c r="J105" s="87"/>
      <c r="P105" s="34"/>
      <c r="Q105" s="39"/>
      <c r="R105" s="39"/>
      <c r="S105" s="39"/>
    </row>
    <row r="106" spans="2:19" s="85" customFormat="1" ht="13.8">
      <c r="B106" s="1" t="s">
        <v>433</v>
      </c>
      <c r="C106" s="87">
        <f>+'Notice de calcul'!G55</f>
        <v>0</v>
      </c>
      <c r="D106" s="87">
        <f>+$C106*733*964/1000/1000</f>
        <v>0</v>
      </c>
      <c r="E106" s="86">
        <f t="shared" ref="E106:E110" si="32">+$D106*E$29/$K$29</f>
        <v>0</v>
      </c>
      <c r="F106" s="86">
        <f t="shared" ref="F106:J110" si="33">+$D106*F$29/$K$29</f>
        <v>0</v>
      </c>
      <c r="G106" s="86">
        <f t="shared" si="33"/>
        <v>0</v>
      </c>
      <c r="H106" s="86">
        <f t="shared" si="33"/>
        <v>0</v>
      </c>
      <c r="I106" s="86">
        <f t="shared" si="33"/>
        <v>0</v>
      </c>
      <c r="J106" s="86">
        <f t="shared" si="33"/>
        <v>0</v>
      </c>
      <c r="P106" s="34"/>
      <c r="Q106" s="39"/>
      <c r="R106" s="39"/>
      <c r="S106" s="39"/>
    </row>
    <row r="107" spans="2:19" s="85" customFormat="1" ht="13.8">
      <c r="B107" s="1" t="s">
        <v>434</v>
      </c>
      <c r="C107" s="87">
        <f>+'Notice de calcul'!G56</f>
        <v>0</v>
      </c>
      <c r="D107" s="87">
        <f>+$C107*933*964/1000/1000</f>
        <v>0</v>
      </c>
      <c r="E107" s="86">
        <f t="shared" si="32"/>
        <v>0</v>
      </c>
      <c r="F107" s="86">
        <f t="shared" si="33"/>
        <v>0</v>
      </c>
      <c r="G107" s="86">
        <f t="shared" si="33"/>
        <v>0</v>
      </c>
      <c r="H107" s="86">
        <f t="shared" si="33"/>
        <v>0</v>
      </c>
      <c r="I107" s="86">
        <f t="shared" si="33"/>
        <v>0</v>
      </c>
      <c r="J107" s="86">
        <f t="shared" si="33"/>
        <v>0</v>
      </c>
      <c r="P107" s="34"/>
      <c r="Q107" s="39"/>
      <c r="R107" s="39"/>
      <c r="S107" s="39"/>
    </row>
    <row r="108" spans="2:19" s="85" customFormat="1" ht="13.8">
      <c r="B108" s="1" t="s">
        <v>435</v>
      </c>
      <c r="C108" s="87">
        <f>+'Notice de calcul'!G57</f>
        <v>0</v>
      </c>
      <c r="D108" s="87">
        <f>+$C108*1133*964/1000/1000</f>
        <v>0</v>
      </c>
      <c r="E108" s="86">
        <f t="shared" si="32"/>
        <v>0</v>
      </c>
      <c r="F108" s="86">
        <f t="shared" si="33"/>
        <v>0</v>
      </c>
      <c r="G108" s="86">
        <f t="shared" si="33"/>
        <v>0</v>
      </c>
      <c r="H108" s="86">
        <f t="shared" si="33"/>
        <v>0</v>
      </c>
      <c r="I108" s="86">
        <f t="shared" si="33"/>
        <v>0</v>
      </c>
      <c r="J108" s="86">
        <f t="shared" si="33"/>
        <v>0</v>
      </c>
      <c r="P108" s="34"/>
      <c r="Q108" s="39"/>
      <c r="R108" s="39"/>
      <c r="S108" s="39"/>
    </row>
    <row r="109" spans="2:19" s="85" customFormat="1" ht="13.8">
      <c r="B109" s="1" t="s">
        <v>154</v>
      </c>
      <c r="C109" s="87">
        <f>+'Notice de calcul'!G58</f>
        <v>0</v>
      </c>
      <c r="D109" s="87">
        <f>+$C109*933*964/1000/1000</f>
        <v>0</v>
      </c>
      <c r="E109" s="86">
        <f t="shared" si="32"/>
        <v>0</v>
      </c>
      <c r="F109" s="86">
        <f t="shared" si="33"/>
        <v>0</v>
      </c>
      <c r="G109" s="86">
        <f t="shared" si="33"/>
        <v>0</v>
      </c>
      <c r="H109" s="86">
        <f t="shared" si="33"/>
        <v>0</v>
      </c>
      <c r="I109" s="86">
        <f t="shared" si="33"/>
        <v>0</v>
      </c>
      <c r="J109" s="86">
        <f t="shared" si="33"/>
        <v>0</v>
      </c>
      <c r="P109" s="34"/>
      <c r="Q109" s="39"/>
      <c r="R109" s="39"/>
      <c r="S109" s="39"/>
    </row>
    <row r="110" spans="2:19" s="85" customFormat="1" ht="13.8">
      <c r="B110" s="1" t="s">
        <v>155</v>
      </c>
      <c r="C110" s="87">
        <f>+'Notice de calcul'!G59</f>
        <v>0</v>
      </c>
      <c r="D110" s="87">
        <f>+$C110*1133*964/1000/1000</f>
        <v>0</v>
      </c>
      <c r="E110" s="86">
        <f t="shared" si="32"/>
        <v>0</v>
      </c>
      <c r="F110" s="86">
        <f t="shared" si="33"/>
        <v>0</v>
      </c>
      <c r="G110" s="86">
        <f t="shared" si="33"/>
        <v>0</v>
      </c>
      <c r="H110" s="86">
        <f t="shared" si="33"/>
        <v>0</v>
      </c>
      <c r="I110" s="86">
        <f t="shared" si="33"/>
        <v>0</v>
      </c>
      <c r="J110" s="86">
        <f t="shared" si="33"/>
        <v>0</v>
      </c>
      <c r="P110" s="34"/>
      <c r="Q110" s="39"/>
      <c r="R110" s="39"/>
      <c r="S110" s="39"/>
    </row>
    <row r="111" spans="2:19" s="85" customFormat="1">
      <c r="B111" s="117" t="s">
        <v>272</v>
      </c>
      <c r="C111" s="87"/>
      <c r="D111" s="87"/>
      <c r="E111" s="86"/>
      <c r="F111" s="86"/>
      <c r="G111" s="86"/>
      <c r="H111" s="86"/>
      <c r="I111" s="86"/>
      <c r="J111" s="86"/>
      <c r="P111" s="34"/>
      <c r="Q111" s="39"/>
      <c r="R111" s="39"/>
      <c r="S111" s="39"/>
    </row>
    <row r="112" spans="2:19" s="85" customFormat="1" ht="13.8">
      <c r="B112" s="116" t="s">
        <v>260</v>
      </c>
      <c r="C112" s="87">
        <f>+'Notice de calcul'!E61</f>
        <v>0</v>
      </c>
      <c r="D112" s="87">
        <f>+$C112*395*700/1000/1000</f>
        <v>0</v>
      </c>
      <c r="E112" s="86">
        <f>+$D112*E$28/$K$28</f>
        <v>0</v>
      </c>
      <c r="F112" s="86">
        <f t="shared" ref="F112:J119" si="34">+$D112*F$28/$K$28</f>
        <v>0</v>
      </c>
      <c r="G112" s="86">
        <f t="shared" si="34"/>
        <v>0</v>
      </c>
      <c r="H112" s="86">
        <f t="shared" si="34"/>
        <v>0</v>
      </c>
      <c r="I112" s="86">
        <f t="shared" si="34"/>
        <v>0</v>
      </c>
      <c r="J112" s="86">
        <f t="shared" si="34"/>
        <v>0</v>
      </c>
      <c r="P112" s="34"/>
      <c r="Q112" s="39"/>
      <c r="R112" s="39"/>
      <c r="S112" s="39"/>
    </row>
    <row r="113" spans="2:19" s="85" customFormat="1" ht="13.8">
      <c r="B113" s="116" t="s">
        <v>261</v>
      </c>
      <c r="C113" s="87">
        <f>+'Notice de calcul'!E62</f>
        <v>0</v>
      </c>
      <c r="D113" s="87">
        <f>+$C113*395*1166/1000/1000</f>
        <v>0</v>
      </c>
      <c r="E113" s="86">
        <f t="shared" ref="E113:E119" si="35">+$D113*E$28/$K$28</f>
        <v>0</v>
      </c>
      <c r="F113" s="86">
        <f t="shared" si="34"/>
        <v>0</v>
      </c>
      <c r="G113" s="86">
        <f t="shared" si="34"/>
        <v>0</v>
      </c>
      <c r="H113" s="86">
        <f t="shared" si="34"/>
        <v>0</v>
      </c>
      <c r="I113" s="86">
        <f t="shared" si="34"/>
        <v>0</v>
      </c>
      <c r="J113" s="86">
        <f t="shared" si="34"/>
        <v>0</v>
      </c>
      <c r="P113" s="34"/>
      <c r="Q113" s="39"/>
      <c r="R113" s="39"/>
      <c r="S113" s="39"/>
    </row>
    <row r="114" spans="2:19" s="85" customFormat="1" ht="13.8">
      <c r="B114" s="116" t="s">
        <v>262</v>
      </c>
      <c r="C114" s="87">
        <f>+'Notice de calcul'!E63</f>
        <v>0</v>
      </c>
      <c r="D114" s="87">
        <f>+$C114*395*1366/1000/1000</f>
        <v>0</v>
      </c>
      <c r="E114" s="86">
        <f t="shared" si="35"/>
        <v>0</v>
      </c>
      <c r="F114" s="86">
        <f t="shared" si="34"/>
        <v>0</v>
      </c>
      <c r="G114" s="86">
        <f t="shared" si="34"/>
        <v>0</v>
      </c>
      <c r="H114" s="86">
        <f t="shared" si="34"/>
        <v>0</v>
      </c>
      <c r="I114" s="86">
        <f t="shared" si="34"/>
        <v>0</v>
      </c>
      <c r="J114" s="86">
        <f t="shared" si="34"/>
        <v>0</v>
      </c>
      <c r="P114" s="34"/>
      <c r="Q114" s="39"/>
      <c r="R114" s="39"/>
      <c r="S114" s="39"/>
    </row>
    <row r="115" spans="2:19" s="85" customFormat="1" ht="13.8">
      <c r="B115" s="116" t="s">
        <v>263</v>
      </c>
      <c r="C115" s="87">
        <f>+'Notice de calcul'!E64</f>
        <v>0</v>
      </c>
      <c r="D115" s="87">
        <f>+$C115*395*1566/1000/1000</f>
        <v>0</v>
      </c>
      <c r="E115" s="86">
        <f t="shared" si="35"/>
        <v>0</v>
      </c>
      <c r="F115" s="86">
        <f t="shared" si="34"/>
        <v>0</v>
      </c>
      <c r="G115" s="86">
        <f t="shared" si="34"/>
        <v>0</v>
      </c>
      <c r="H115" s="86">
        <f t="shared" si="34"/>
        <v>0</v>
      </c>
      <c r="I115" s="86">
        <f t="shared" si="34"/>
        <v>0</v>
      </c>
      <c r="J115" s="86">
        <f t="shared" si="34"/>
        <v>0</v>
      </c>
      <c r="P115" s="34"/>
      <c r="Q115" s="39"/>
      <c r="R115" s="39"/>
      <c r="S115" s="39"/>
    </row>
    <row r="116" spans="2:19" s="85" customFormat="1" ht="13.8">
      <c r="B116" s="116" t="s">
        <v>264</v>
      </c>
      <c r="C116" s="87">
        <f>+'Notice de calcul'!E65</f>
        <v>0</v>
      </c>
      <c r="D116" s="87">
        <f>+$C116*495*700/1000/1000</f>
        <v>0</v>
      </c>
      <c r="E116" s="86">
        <f t="shared" si="35"/>
        <v>0</v>
      </c>
      <c r="F116" s="86">
        <f t="shared" si="34"/>
        <v>0</v>
      </c>
      <c r="G116" s="86">
        <f t="shared" si="34"/>
        <v>0</v>
      </c>
      <c r="H116" s="86">
        <f t="shared" si="34"/>
        <v>0</v>
      </c>
      <c r="I116" s="86">
        <f t="shared" si="34"/>
        <v>0</v>
      </c>
      <c r="J116" s="86">
        <f t="shared" si="34"/>
        <v>0</v>
      </c>
      <c r="P116" s="34"/>
      <c r="Q116" s="39"/>
      <c r="R116" s="39"/>
      <c r="S116" s="39"/>
    </row>
    <row r="117" spans="2:19" s="85" customFormat="1" ht="13.8">
      <c r="B117" s="116" t="s">
        <v>265</v>
      </c>
      <c r="C117" s="87">
        <f>+'Notice de calcul'!E66</f>
        <v>0</v>
      </c>
      <c r="D117" s="87">
        <f>+$C117*495*1166/1000/1000</f>
        <v>0</v>
      </c>
      <c r="E117" s="86">
        <f t="shared" si="35"/>
        <v>0</v>
      </c>
      <c r="F117" s="86">
        <f t="shared" si="34"/>
        <v>0</v>
      </c>
      <c r="G117" s="86">
        <f t="shared" si="34"/>
        <v>0</v>
      </c>
      <c r="H117" s="86">
        <f t="shared" si="34"/>
        <v>0</v>
      </c>
      <c r="I117" s="86">
        <f t="shared" si="34"/>
        <v>0</v>
      </c>
      <c r="J117" s="86">
        <f t="shared" si="34"/>
        <v>0</v>
      </c>
      <c r="P117" s="34"/>
      <c r="Q117" s="39"/>
      <c r="R117" s="39"/>
      <c r="S117" s="39"/>
    </row>
    <row r="118" spans="2:19" s="85" customFormat="1" ht="13.8">
      <c r="B118" s="116" t="s">
        <v>266</v>
      </c>
      <c r="C118" s="87">
        <f>+'Notice de calcul'!E67</f>
        <v>0</v>
      </c>
      <c r="D118" s="87">
        <f>+$C118*495*1366/1000/1000</f>
        <v>0</v>
      </c>
      <c r="E118" s="86">
        <f t="shared" si="35"/>
        <v>0</v>
      </c>
      <c r="F118" s="86">
        <f t="shared" si="34"/>
        <v>0</v>
      </c>
      <c r="G118" s="86">
        <f t="shared" si="34"/>
        <v>0</v>
      </c>
      <c r="H118" s="86">
        <f t="shared" si="34"/>
        <v>0</v>
      </c>
      <c r="I118" s="86">
        <f t="shared" si="34"/>
        <v>0</v>
      </c>
      <c r="J118" s="86">
        <f t="shared" si="34"/>
        <v>0</v>
      </c>
      <c r="P118" s="34"/>
      <c r="Q118" s="39"/>
      <c r="R118" s="39"/>
      <c r="S118" s="39"/>
    </row>
    <row r="119" spans="2:19" s="85" customFormat="1" ht="13.8">
      <c r="B119" s="116" t="s">
        <v>267</v>
      </c>
      <c r="C119" s="87">
        <f>+'Notice de calcul'!E68</f>
        <v>0</v>
      </c>
      <c r="D119" s="87">
        <f>+$C119*495*1566/1000/1000</f>
        <v>0</v>
      </c>
      <c r="E119" s="86">
        <f t="shared" si="35"/>
        <v>0</v>
      </c>
      <c r="F119" s="86">
        <f t="shared" si="34"/>
        <v>0</v>
      </c>
      <c r="G119" s="86">
        <f t="shared" si="34"/>
        <v>0</v>
      </c>
      <c r="H119" s="86">
        <f t="shared" si="34"/>
        <v>0</v>
      </c>
      <c r="I119" s="86">
        <f t="shared" si="34"/>
        <v>0</v>
      </c>
      <c r="J119" s="86">
        <f t="shared" si="34"/>
        <v>0</v>
      </c>
      <c r="P119" s="34"/>
      <c r="Q119" s="39"/>
      <c r="R119" s="39"/>
      <c r="S119" s="39"/>
    </row>
    <row r="120" spans="2:19" s="85" customFormat="1" ht="13.8" hidden="1">
      <c r="B120" s="1"/>
      <c r="C120" s="87"/>
      <c r="D120" s="87"/>
      <c r="E120" s="86"/>
      <c r="F120" s="86"/>
      <c r="G120" s="86"/>
      <c r="H120" s="86"/>
      <c r="I120" s="86"/>
      <c r="J120" s="86"/>
      <c r="P120" s="34"/>
      <c r="Q120" s="39"/>
      <c r="R120" s="39"/>
      <c r="S120" s="39"/>
    </row>
    <row r="121" spans="2:19" s="85" customFormat="1" ht="13.8" hidden="1">
      <c r="B121" s="1"/>
      <c r="C121" s="87"/>
      <c r="D121" s="87"/>
      <c r="E121" s="86"/>
      <c r="F121" s="86"/>
      <c r="G121" s="86"/>
      <c r="H121" s="86"/>
      <c r="I121" s="86"/>
      <c r="J121" s="86"/>
      <c r="P121" s="34"/>
      <c r="Q121" s="39"/>
      <c r="R121" s="39"/>
      <c r="S121" s="39"/>
    </row>
    <row r="122" spans="2:19" s="85" customFormat="1" ht="13.8" hidden="1">
      <c r="B122" s="1"/>
      <c r="C122" s="87"/>
      <c r="D122" s="87"/>
      <c r="E122" s="86"/>
      <c r="F122" s="86"/>
      <c r="G122" s="86"/>
      <c r="H122" s="86"/>
      <c r="I122" s="86"/>
      <c r="J122" s="86"/>
      <c r="P122" s="34"/>
      <c r="Q122" s="39"/>
      <c r="R122" s="39"/>
      <c r="S122" s="39"/>
    </row>
    <row r="123" spans="2:19" s="85" customFormat="1" ht="13.8" hidden="1">
      <c r="B123" s="1"/>
      <c r="C123" s="87"/>
      <c r="D123" s="87"/>
      <c r="E123" s="86"/>
      <c r="F123" s="86"/>
      <c r="G123" s="86"/>
      <c r="H123" s="86"/>
      <c r="I123" s="86"/>
      <c r="J123" s="86"/>
      <c r="P123" s="34"/>
      <c r="Q123" s="39"/>
      <c r="R123" s="39"/>
      <c r="S123" s="39"/>
    </row>
    <row r="124" spans="2:19" s="85" customFormat="1" ht="13.8" hidden="1">
      <c r="B124" s="1"/>
      <c r="C124" s="87"/>
      <c r="D124" s="87"/>
      <c r="E124" s="86"/>
      <c r="F124" s="86"/>
      <c r="G124" s="86"/>
      <c r="H124" s="86"/>
      <c r="I124" s="86"/>
      <c r="J124" s="86"/>
      <c r="P124" s="34"/>
      <c r="Q124" s="39"/>
      <c r="R124" s="39"/>
      <c r="S124" s="39"/>
    </row>
    <row r="125" spans="2:19" s="85" customFormat="1">
      <c r="B125" s="104" t="s">
        <v>184</v>
      </c>
      <c r="C125" s="104"/>
      <c r="E125" s="111"/>
      <c r="F125" s="111"/>
      <c r="G125" s="111"/>
      <c r="H125" s="111"/>
      <c r="I125" s="111"/>
      <c r="J125" s="111"/>
      <c r="P125" s="34"/>
      <c r="Q125" s="39"/>
      <c r="R125" s="39"/>
      <c r="S125" s="39"/>
    </row>
    <row r="126" spans="2:19" s="85" customFormat="1">
      <c r="B126" s="109" t="s">
        <v>175</v>
      </c>
      <c r="C126" s="87">
        <f>+'Notice de calcul'!U52</f>
        <v>0</v>
      </c>
      <c r="D126" s="86">
        <f>C126*780*780/1000/1000</f>
        <v>0</v>
      </c>
      <c r="E126" s="86">
        <f>+$D126*E$19/$K$19</f>
        <v>0</v>
      </c>
      <c r="F126" s="86">
        <f t="shared" ref="F126:J131" si="36">+$D126*F$19/$K$19</f>
        <v>0</v>
      </c>
      <c r="G126" s="86">
        <f t="shared" si="36"/>
        <v>0</v>
      </c>
      <c r="H126" s="86">
        <f t="shared" si="36"/>
        <v>0</v>
      </c>
      <c r="I126" s="86">
        <f t="shared" si="36"/>
        <v>0</v>
      </c>
      <c r="J126" s="86">
        <f t="shared" si="36"/>
        <v>0</v>
      </c>
      <c r="P126" s="34"/>
      <c r="Q126" s="39"/>
      <c r="R126" s="39"/>
      <c r="S126" s="39"/>
    </row>
    <row r="127" spans="2:19" s="85" customFormat="1">
      <c r="B127" s="109" t="s">
        <v>177</v>
      </c>
      <c r="C127" s="87">
        <f>+'Notice de calcul'!U53</f>
        <v>0</v>
      </c>
      <c r="D127" s="86">
        <f>C127*580*1160/1000/1000</f>
        <v>0</v>
      </c>
      <c r="E127" s="86">
        <f t="shared" ref="E127:E131" si="37">+$D127*E$19/$K$19</f>
        <v>0</v>
      </c>
      <c r="F127" s="86">
        <f t="shared" si="36"/>
        <v>0</v>
      </c>
      <c r="G127" s="86">
        <f t="shared" si="36"/>
        <v>0</v>
      </c>
      <c r="H127" s="86">
        <f t="shared" si="36"/>
        <v>0</v>
      </c>
      <c r="I127" s="86">
        <f t="shared" si="36"/>
        <v>0</v>
      </c>
      <c r="J127" s="86">
        <f t="shared" si="36"/>
        <v>0</v>
      </c>
      <c r="P127" s="34"/>
      <c r="Q127" s="39"/>
      <c r="R127" s="39"/>
      <c r="S127" s="39"/>
    </row>
    <row r="128" spans="2:19" s="85" customFormat="1">
      <c r="B128" s="109" t="s">
        <v>178</v>
      </c>
      <c r="C128" s="87">
        <f>+'Notice de calcul'!U54</f>
        <v>0</v>
      </c>
      <c r="D128" s="86">
        <f>C128*800*1600/1000/1000</f>
        <v>0</v>
      </c>
      <c r="E128" s="86">
        <f t="shared" si="37"/>
        <v>0</v>
      </c>
      <c r="F128" s="86">
        <f t="shared" si="36"/>
        <v>0</v>
      </c>
      <c r="G128" s="86">
        <f t="shared" si="36"/>
        <v>0</v>
      </c>
      <c r="H128" s="86">
        <f t="shared" si="36"/>
        <v>0</v>
      </c>
      <c r="I128" s="86">
        <f t="shared" si="36"/>
        <v>0</v>
      </c>
      <c r="J128" s="86">
        <f t="shared" si="36"/>
        <v>0</v>
      </c>
      <c r="P128" s="34"/>
      <c r="Q128" s="39"/>
      <c r="R128" s="39"/>
      <c r="S128" s="39"/>
    </row>
    <row r="129" spans="2:19" s="85" customFormat="1">
      <c r="B129" s="109" t="s">
        <v>179</v>
      </c>
      <c r="C129" s="87">
        <f>+'Notice de calcul'!Z52</f>
        <v>0</v>
      </c>
      <c r="D129" s="86">
        <f>C129*900*1160/1000/1000</f>
        <v>0</v>
      </c>
      <c r="E129" s="86">
        <f t="shared" si="37"/>
        <v>0</v>
      </c>
      <c r="F129" s="86">
        <f t="shared" si="36"/>
        <v>0</v>
      </c>
      <c r="G129" s="86">
        <f t="shared" si="36"/>
        <v>0</v>
      </c>
      <c r="H129" s="86">
        <f t="shared" si="36"/>
        <v>0</v>
      </c>
      <c r="I129" s="86">
        <f t="shared" si="36"/>
        <v>0</v>
      </c>
      <c r="J129" s="86">
        <f t="shared" si="36"/>
        <v>0</v>
      </c>
      <c r="P129" s="34"/>
      <c r="Q129" s="39"/>
      <c r="R129" s="39"/>
      <c r="S129" s="39"/>
    </row>
    <row r="130" spans="2:19" s="85" customFormat="1">
      <c r="B130" s="109" t="s">
        <v>180</v>
      </c>
      <c r="C130" s="87">
        <f>+'Notice de calcul'!Z53</f>
        <v>0</v>
      </c>
      <c r="D130" s="86">
        <f>C130*1160*1160/1000/1000</f>
        <v>0</v>
      </c>
      <c r="E130" s="86">
        <f t="shared" si="37"/>
        <v>0</v>
      </c>
      <c r="F130" s="86">
        <f t="shared" si="36"/>
        <v>0</v>
      </c>
      <c r="G130" s="86">
        <f t="shared" si="36"/>
        <v>0</v>
      </c>
      <c r="H130" s="86">
        <f t="shared" si="36"/>
        <v>0</v>
      </c>
      <c r="I130" s="86">
        <f t="shared" si="36"/>
        <v>0</v>
      </c>
      <c r="J130" s="86">
        <f t="shared" si="36"/>
        <v>0</v>
      </c>
      <c r="P130" s="34"/>
      <c r="Q130" s="39"/>
      <c r="R130" s="39"/>
      <c r="S130" s="39"/>
    </row>
    <row r="131" spans="2:19" s="85" customFormat="1">
      <c r="B131" s="109" t="s">
        <v>176</v>
      </c>
      <c r="C131" s="87">
        <f>+'Notice de calcul'!Z54</f>
        <v>0</v>
      </c>
      <c r="D131" s="86">
        <f>C131*1160*1600/1000/1000</f>
        <v>0</v>
      </c>
      <c r="E131" s="86">
        <f t="shared" si="37"/>
        <v>0</v>
      </c>
      <c r="F131" s="86">
        <f t="shared" si="36"/>
        <v>0</v>
      </c>
      <c r="G131" s="86">
        <f t="shared" si="36"/>
        <v>0</v>
      </c>
      <c r="H131" s="86">
        <f t="shared" si="36"/>
        <v>0</v>
      </c>
      <c r="I131" s="86">
        <f t="shared" si="36"/>
        <v>0</v>
      </c>
      <c r="J131" s="86">
        <f t="shared" si="36"/>
        <v>0</v>
      </c>
      <c r="P131" s="34"/>
      <c r="Q131" s="39"/>
      <c r="R131" s="39"/>
      <c r="S131" s="39"/>
    </row>
    <row r="132" spans="2:19" s="85" customFormat="1">
      <c r="B132" s="117" t="s">
        <v>185</v>
      </c>
      <c r="C132" s="104"/>
      <c r="D132" s="87"/>
      <c r="E132" s="86"/>
      <c r="F132" s="86"/>
      <c r="G132" s="86"/>
      <c r="H132" s="86"/>
      <c r="I132" s="86"/>
      <c r="J132" s="86"/>
      <c r="P132" s="34"/>
      <c r="Q132" s="39"/>
      <c r="R132" s="39"/>
      <c r="S132" s="39"/>
    </row>
    <row r="133" spans="2:19" s="85" customFormat="1">
      <c r="B133" s="109" t="s">
        <v>175</v>
      </c>
      <c r="C133" s="87">
        <f>+'Notice de calcul'!V52</f>
        <v>0</v>
      </c>
      <c r="D133" s="86">
        <f>C133*780*780/1000/1000</f>
        <v>0</v>
      </c>
      <c r="E133" s="86">
        <f>+$D133*E$20/$K$20</f>
        <v>0</v>
      </c>
      <c r="F133" s="86">
        <f t="shared" ref="F133:J138" si="38">+$D133*F$20/$K$20</f>
        <v>0</v>
      </c>
      <c r="G133" s="86">
        <f t="shared" si="38"/>
        <v>0</v>
      </c>
      <c r="H133" s="86">
        <f t="shared" si="38"/>
        <v>0</v>
      </c>
      <c r="I133" s="86">
        <f t="shared" si="38"/>
        <v>0</v>
      </c>
      <c r="J133" s="86">
        <f t="shared" si="38"/>
        <v>0</v>
      </c>
      <c r="P133" s="34"/>
      <c r="Q133" s="39"/>
      <c r="R133" s="39"/>
      <c r="S133" s="39"/>
    </row>
    <row r="134" spans="2:19" s="85" customFormat="1">
      <c r="B134" s="109" t="s">
        <v>177</v>
      </c>
      <c r="C134" s="87">
        <f>+'Notice de calcul'!V53</f>
        <v>0</v>
      </c>
      <c r="D134" s="86">
        <f>C134*580*1160/1000/1000</f>
        <v>0</v>
      </c>
      <c r="E134" s="86">
        <f t="shared" ref="E134:E138" si="39">+$D134*E$20/$K$20</f>
        <v>0</v>
      </c>
      <c r="F134" s="86">
        <f t="shared" si="38"/>
        <v>0</v>
      </c>
      <c r="G134" s="86">
        <f t="shared" si="38"/>
        <v>0</v>
      </c>
      <c r="H134" s="86">
        <f t="shared" si="38"/>
        <v>0</v>
      </c>
      <c r="I134" s="86">
        <f t="shared" si="38"/>
        <v>0</v>
      </c>
      <c r="J134" s="86">
        <f t="shared" si="38"/>
        <v>0</v>
      </c>
      <c r="P134" s="34"/>
      <c r="Q134" s="39"/>
      <c r="R134" s="39"/>
      <c r="S134" s="39"/>
    </row>
    <row r="135" spans="2:19" s="85" customFormat="1">
      <c r="B135" s="109" t="s">
        <v>431</v>
      </c>
      <c r="C135" s="87">
        <f>+'Notice de calcul'!V54</f>
        <v>0</v>
      </c>
      <c r="D135" s="86">
        <f>C135*800*1600/1000/1000</f>
        <v>0</v>
      </c>
      <c r="E135" s="86">
        <f t="shared" si="39"/>
        <v>0</v>
      </c>
      <c r="F135" s="86">
        <f t="shared" si="38"/>
        <v>0</v>
      </c>
      <c r="G135" s="86">
        <f t="shared" si="38"/>
        <v>0</v>
      </c>
      <c r="H135" s="86">
        <f t="shared" si="38"/>
        <v>0</v>
      </c>
      <c r="I135" s="86">
        <f t="shared" si="38"/>
        <v>0</v>
      </c>
      <c r="J135" s="86">
        <f t="shared" si="38"/>
        <v>0</v>
      </c>
      <c r="P135" s="34"/>
      <c r="Q135" s="39"/>
      <c r="R135" s="39"/>
      <c r="S135" s="39"/>
    </row>
    <row r="136" spans="2:19" s="85" customFormat="1">
      <c r="B136" s="109" t="s">
        <v>179</v>
      </c>
      <c r="C136" s="87">
        <f>+'Notice de calcul'!AA52</f>
        <v>0</v>
      </c>
      <c r="D136" s="86">
        <f>C136*900*1160/1000/1000</f>
        <v>0</v>
      </c>
      <c r="E136" s="86">
        <f>+$D136*E$20/$K$20</f>
        <v>0</v>
      </c>
      <c r="F136" s="86">
        <f t="shared" si="38"/>
        <v>0</v>
      </c>
      <c r="G136" s="86">
        <f t="shared" si="38"/>
        <v>0</v>
      </c>
      <c r="H136" s="86">
        <f t="shared" si="38"/>
        <v>0</v>
      </c>
      <c r="I136" s="86">
        <f t="shared" si="38"/>
        <v>0</v>
      </c>
      <c r="J136" s="86">
        <f t="shared" si="38"/>
        <v>0</v>
      </c>
      <c r="P136" s="34"/>
      <c r="Q136" s="39"/>
      <c r="R136" s="39"/>
      <c r="S136" s="39"/>
    </row>
    <row r="137" spans="2:19" s="85" customFormat="1">
      <c r="B137" s="109" t="s">
        <v>180</v>
      </c>
      <c r="C137" s="87">
        <f>+'Notice de calcul'!AA53</f>
        <v>0</v>
      </c>
      <c r="D137" s="86">
        <f>C137*1160*1160/1000/1000</f>
        <v>0</v>
      </c>
      <c r="E137" s="86">
        <f t="shared" si="39"/>
        <v>0</v>
      </c>
      <c r="F137" s="86">
        <f t="shared" si="38"/>
        <v>0</v>
      </c>
      <c r="G137" s="86">
        <f t="shared" si="38"/>
        <v>0</v>
      </c>
      <c r="H137" s="86">
        <f t="shared" si="38"/>
        <v>0</v>
      </c>
      <c r="I137" s="86">
        <f t="shared" si="38"/>
        <v>0</v>
      </c>
      <c r="J137" s="86">
        <f t="shared" si="38"/>
        <v>0</v>
      </c>
      <c r="P137" s="34"/>
      <c r="Q137" s="39"/>
      <c r="R137" s="39"/>
      <c r="S137" s="39"/>
    </row>
    <row r="138" spans="2:19" s="85" customFormat="1">
      <c r="B138" s="109" t="s">
        <v>432</v>
      </c>
      <c r="C138" s="87">
        <f>+'Notice de calcul'!AA54</f>
        <v>0</v>
      </c>
      <c r="D138" s="86">
        <f>C138*1160*1600/1000/1000</f>
        <v>0</v>
      </c>
      <c r="E138" s="86">
        <f t="shared" si="39"/>
        <v>0</v>
      </c>
      <c r="F138" s="86">
        <f t="shared" si="38"/>
        <v>0</v>
      </c>
      <c r="G138" s="86">
        <f t="shared" si="38"/>
        <v>0</v>
      </c>
      <c r="H138" s="86">
        <f t="shared" si="38"/>
        <v>0</v>
      </c>
      <c r="I138" s="86">
        <f t="shared" si="38"/>
        <v>0</v>
      </c>
      <c r="J138" s="86">
        <f t="shared" si="38"/>
        <v>0</v>
      </c>
      <c r="P138" s="34"/>
      <c r="Q138" s="39"/>
      <c r="R138" s="39"/>
      <c r="S138" s="39"/>
    </row>
    <row r="139" spans="2:19" s="85" customFormat="1">
      <c r="B139" s="117" t="s">
        <v>186</v>
      </c>
      <c r="C139" s="104"/>
      <c r="D139" s="87"/>
      <c r="E139" s="86"/>
      <c r="F139" s="86"/>
      <c r="G139" s="86"/>
      <c r="H139" s="86"/>
      <c r="I139" s="86"/>
      <c r="J139" s="86"/>
      <c r="P139" s="34"/>
      <c r="Q139" s="39"/>
      <c r="R139" s="39"/>
      <c r="S139" s="39"/>
    </row>
    <row r="140" spans="2:19" s="85" customFormat="1">
      <c r="B140" s="22">
        <v>600</v>
      </c>
      <c r="C140" s="87">
        <f>+'Notice de calcul'!Q51</f>
        <v>0</v>
      </c>
      <c r="D140" s="86">
        <f>C140*3.141592653*300*300/1000/1000</f>
        <v>0</v>
      </c>
      <c r="E140" s="86">
        <f>+$D140*E$18/$K$18</f>
        <v>0</v>
      </c>
      <c r="F140" s="86">
        <f t="shared" ref="F140:J142" si="40">+$D140*F$18/$K$18</f>
        <v>0</v>
      </c>
      <c r="G140" s="86">
        <f t="shared" si="40"/>
        <v>0</v>
      </c>
      <c r="H140" s="86">
        <f t="shared" si="40"/>
        <v>0</v>
      </c>
      <c r="I140" s="86">
        <f t="shared" si="40"/>
        <v>0</v>
      </c>
      <c r="J140" s="86">
        <f t="shared" si="40"/>
        <v>0</v>
      </c>
      <c r="P140" s="34"/>
      <c r="Q140" s="39"/>
      <c r="R140" s="39"/>
      <c r="S140" s="39"/>
    </row>
    <row r="141" spans="2:19" s="85" customFormat="1">
      <c r="B141" s="22">
        <v>800</v>
      </c>
      <c r="C141" s="87">
        <f>+'Notice de calcul'!Q52</f>
        <v>0</v>
      </c>
      <c r="D141" s="86">
        <f>C141*3.141592653*400*400/1000/1000</f>
        <v>0</v>
      </c>
      <c r="E141" s="86">
        <f>+$D141*E$18/$K$18</f>
        <v>0</v>
      </c>
      <c r="F141" s="86">
        <f t="shared" si="40"/>
        <v>0</v>
      </c>
      <c r="G141" s="86">
        <f t="shared" si="40"/>
        <v>0</v>
      </c>
      <c r="H141" s="86">
        <f t="shared" si="40"/>
        <v>0</v>
      </c>
      <c r="I141" s="86">
        <f t="shared" si="40"/>
        <v>0</v>
      </c>
      <c r="J141" s="86">
        <f t="shared" si="40"/>
        <v>0</v>
      </c>
      <c r="P141" s="34"/>
      <c r="Q141" s="39"/>
      <c r="R141" s="39"/>
      <c r="S141" s="39"/>
    </row>
    <row r="142" spans="2:19" s="85" customFormat="1">
      <c r="B142" s="22">
        <v>1200</v>
      </c>
      <c r="C142" s="87">
        <f>+'Notice de calcul'!Q53</f>
        <v>0</v>
      </c>
      <c r="D142" s="86">
        <f>C142*3.141592653*600*600/1000/1000</f>
        <v>0</v>
      </c>
      <c r="E142" s="86">
        <f t="shared" ref="E142" si="41">+$D142*E$18/$K$18</f>
        <v>0</v>
      </c>
      <c r="F142" s="86">
        <f t="shared" si="40"/>
        <v>0</v>
      </c>
      <c r="G142" s="86">
        <f t="shared" si="40"/>
        <v>0</v>
      </c>
      <c r="H142" s="86">
        <f t="shared" si="40"/>
        <v>0</v>
      </c>
      <c r="I142" s="86">
        <f t="shared" si="40"/>
        <v>0</v>
      </c>
      <c r="J142" s="86">
        <f t="shared" si="40"/>
        <v>0</v>
      </c>
      <c r="P142" s="34"/>
      <c r="Q142" s="39"/>
      <c r="R142" s="39"/>
      <c r="S142" s="39"/>
    </row>
    <row r="143" spans="2:19" s="85" customFormat="1">
      <c r="B143" s="117" t="s">
        <v>187</v>
      </c>
      <c r="C143" s="104"/>
      <c r="D143" s="87"/>
      <c r="E143" s="86"/>
      <c r="F143" s="86"/>
      <c r="G143" s="86"/>
      <c r="H143" s="86"/>
      <c r="I143" s="86"/>
      <c r="J143" s="86"/>
      <c r="P143" s="34"/>
      <c r="Q143" s="39"/>
      <c r="R143" s="39"/>
      <c r="S143" s="39"/>
    </row>
    <row r="144" spans="2:19" s="85" customFormat="1">
      <c r="B144" s="22">
        <v>600</v>
      </c>
      <c r="C144" s="87">
        <f>'Notice de calcul'!M68</f>
        <v>0</v>
      </c>
      <c r="D144" s="67">
        <f>C144*600*519.615242271 /2/1000/1000</f>
        <v>0</v>
      </c>
      <c r="E144" s="86">
        <f>+$D144*E$17/$K$17</f>
        <v>0</v>
      </c>
      <c r="F144" s="86">
        <f t="shared" ref="F144:J145" si="42">+$D144*F$17/$K$17</f>
        <v>0</v>
      </c>
      <c r="G144" s="86">
        <f t="shared" si="42"/>
        <v>0</v>
      </c>
      <c r="H144" s="86">
        <f t="shared" si="42"/>
        <v>0</v>
      </c>
      <c r="I144" s="86">
        <f t="shared" si="42"/>
        <v>0</v>
      </c>
      <c r="J144" s="86">
        <f t="shared" si="42"/>
        <v>0</v>
      </c>
      <c r="P144" s="34"/>
      <c r="Q144" s="39"/>
      <c r="R144" s="39"/>
      <c r="S144" s="39"/>
    </row>
    <row r="145" spans="2:19" s="85" customFormat="1">
      <c r="B145" s="22">
        <v>1195</v>
      </c>
      <c r="C145" s="87">
        <f>'Notice de calcul'!M69</f>
        <v>0</v>
      </c>
      <c r="D145" s="67">
        <f>C145*1195*1034.90035752/2/1000/1000</f>
        <v>0</v>
      </c>
      <c r="E145" s="86">
        <f>+$D145*E$17/$K$17</f>
        <v>0</v>
      </c>
      <c r="F145" s="86">
        <f t="shared" si="42"/>
        <v>0</v>
      </c>
      <c r="G145" s="86">
        <f t="shared" si="42"/>
        <v>0</v>
      </c>
      <c r="H145" s="86">
        <f t="shared" si="42"/>
        <v>0</v>
      </c>
      <c r="I145" s="86">
        <f t="shared" si="42"/>
        <v>0</v>
      </c>
      <c r="J145" s="86">
        <f t="shared" si="42"/>
        <v>0</v>
      </c>
      <c r="P145" s="34"/>
      <c r="Q145" s="39"/>
      <c r="R145" s="39"/>
      <c r="S145" s="39"/>
    </row>
    <row r="146" spans="2:19" s="85" customFormat="1">
      <c r="B146" s="117" t="s">
        <v>188</v>
      </c>
      <c r="C146" s="104"/>
      <c r="D146" s="87"/>
      <c r="E146" s="86"/>
      <c r="F146" s="86"/>
      <c r="G146" s="86"/>
      <c r="H146" s="86"/>
      <c r="I146" s="86"/>
      <c r="J146" s="86"/>
      <c r="P146" s="34"/>
      <c r="Q146" s="39"/>
      <c r="R146" s="39"/>
      <c r="S146" s="39"/>
    </row>
    <row r="147" spans="2:19" s="85" customFormat="1">
      <c r="B147" s="22">
        <v>600</v>
      </c>
      <c r="C147" s="87">
        <f>'Notice de calcul'!L68</f>
        <v>0</v>
      </c>
      <c r="D147" s="67">
        <f>C147*600*519.615242271 /2/1000/1000</f>
        <v>0</v>
      </c>
      <c r="E147" s="86">
        <f>+$D147*E$16/$K$16</f>
        <v>0</v>
      </c>
      <c r="F147" s="86">
        <f t="shared" ref="F147:J148" si="43">+$D147*F$16/$K$16</f>
        <v>0</v>
      </c>
      <c r="G147" s="86">
        <f t="shared" si="43"/>
        <v>0</v>
      </c>
      <c r="H147" s="86">
        <f t="shared" si="43"/>
        <v>0</v>
      </c>
      <c r="I147" s="86">
        <f t="shared" si="43"/>
        <v>0</v>
      </c>
      <c r="J147" s="86">
        <f t="shared" si="43"/>
        <v>0</v>
      </c>
      <c r="P147" s="34"/>
      <c r="Q147" s="39"/>
      <c r="R147" s="39"/>
      <c r="S147" s="39"/>
    </row>
    <row r="148" spans="2:19" s="85" customFormat="1">
      <c r="B148" s="22">
        <v>1195</v>
      </c>
      <c r="C148" s="87">
        <f>'Notice de calcul'!L69</f>
        <v>0</v>
      </c>
      <c r="D148" s="67">
        <f>C148*1195*1034.90035752/2/1000/1000</f>
        <v>0</v>
      </c>
      <c r="E148" s="86">
        <f>+$D148*E$16/$K$16</f>
        <v>0</v>
      </c>
      <c r="F148" s="86">
        <f t="shared" si="43"/>
        <v>0</v>
      </c>
      <c r="G148" s="86">
        <f t="shared" si="43"/>
        <v>0</v>
      </c>
      <c r="H148" s="86">
        <f t="shared" si="43"/>
        <v>0</v>
      </c>
      <c r="I148" s="86">
        <f t="shared" si="43"/>
        <v>0</v>
      </c>
      <c r="J148" s="86">
        <f t="shared" si="43"/>
        <v>0</v>
      </c>
      <c r="P148" s="34"/>
      <c r="Q148" s="39"/>
      <c r="R148" s="39"/>
      <c r="S148" s="39"/>
    </row>
    <row r="149" spans="2:19" s="85" customFormat="1">
      <c r="B149" s="117" t="s">
        <v>198</v>
      </c>
      <c r="C149" s="87"/>
      <c r="D149" s="67"/>
      <c r="E149" s="86"/>
      <c r="F149" s="86"/>
      <c r="G149" s="86"/>
      <c r="H149" s="86"/>
      <c r="I149" s="86"/>
      <c r="J149" s="86"/>
      <c r="P149" s="34"/>
      <c r="Q149" s="39"/>
      <c r="R149" s="39"/>
      <c r="S149" s="39"/>
    </row>
    <row r="150" spans="2:19" s="85" customFormat="1">
      <c r="B150" s="109" t="s">
        <v>199</v>
      </c>
      <c r="C150" s="87"/>
      <c r="D150" s="67">
        <f>C150*1000*1300/1000/1000</f>
        <v>0</v>
      </c>
      <c r="E150" s="86">
        <f t="shared" ref="E150:J154" si="44">+$D150*E30/$K30</f>
        <v>0</v>
      </c>
      <c r="F150" s="86">
        <f t="shared" si="44"/>
        <v>0</v>
      </c>
      <c r="G150" s="86">
        <f t="shared" si="44"/>
        <v>0</v>
      </c>
      <c r="H150" s="86">
        <f t="shared" si="44"/>
        <v>0</v>
      </c>
      <c r="I150" s="86">
        <f t="shared" si="44"/>
        <v>0</v>
      </c>
      <c r="J150" s="86">
        <f t="shared" si="44"/>
        <v>0</v>
      </c>
      <c r="P150" s="34"/>
      <c r="Q150" s="39"/>
      <c r="R150" s="39"/>
      <c r="S150" s="39"/>
    </row>
    <row r="151" spans="2:19" s="85" customFormat="1">
      <c r="B151" s="109" t="s">
        <v>200</v>
      </c>
      <c r="C151" s="87"/>
      <c r="D151" s="67">
        <f>C151*1400*1300/1000/1000</f>
        <v>0</v>
      </c>
      <c r="E151" s="86">
        <f t="shared" si="44"/>
        <v>0</v>
      </c>
      <c r="F151" s="86">
        <f t="shared" si="44"/>
        <v>0</v>
      </c>
      <c r="G151" s="86">
        <f t="shared" si="44"/>
        <v>0</v>
      </c>
      <c r="H151" s="86">
        <f t="shared" si="44"/>
        <v>0</v>
      </c>
      <c r="I151" s="86">
        <f t="shared" si="44"/>
        <v>0</v>
      </c>
      <c r="J151" s="86">
        <f t="shared" si="44"/>
        <v>0</v>
      </c>
      <c r="P151" s="34"/>
      <c r="Q151" s="39"/>
      <c r="R151" s="39"/>
      <c r="S151" s="39"/>
    </row>
    <row r="152" spans="2:19" s="85" customFormat="1">
      <c r="B152" s="109" t="s">
        <v>201</v>
      </c>
      <c r="C152" s="87"/>
      <c r="D152" s="67">
        <f>C152*1600*1300/1000/1000</f>
        <v>0</v>
      </c>
      <c r="E152" s="86">
        <f t="shared" si="44"/>
        <v>0</v>
      </c>
      <c r="F152" s="86">
        <f t="shared" si="44"/>
        <v>0</v>
      </c>
      <c r="G152" s="86">
        <f t="shared" si="44"/>
        <v>0</v>
      </c>
      <c r="H152" s="86">
        <f t="shared" si="44"/>
        <v>0</v>
      </c>
      <c r="I152" s="86">
        <f t="shared" si="44"/>
        <v>0</v>
      </c>
      <c r="J152" s="86">
        <f t="shared" si="44"/>
        <v>0</v>
      </c>
      <c r="P152" s="34"/>
      <c r="Q152" s="39"/>
      <c r="R152" s="39"/>
      <c r="S152" s="39"/>
    </row>
    <row r="153" spans="2:19" s="85" customFormat="1">
      <c r="B153" s="109" t="s">
        <v>202</v>
      </c>
      <c r="C153" s="87"/>
      <c r="D153" s="67">
        <f>C153*1800*1300/1000/1000</f>
        <v>0</v>
      </c>
      <c r="E153" s="86">
        <f t="shared" si="44"/>
        <v>0</v>
      </c>
      <c r="F153" s="86">
        <f t="shared" si="44"/>
        <v>0</v>
      </c>
      <c r="G153" s="86">
        <f t="shared" si="44"/>
        <v>0</v>
      </c>
      <c r="H153" s="86">
        <f t="shared" si="44"/>
        <v>0</v>
      </c>
      <c r="I153" s="86">
        <f t="shared" si="44"/>
        <v>0</v>
      </c>
      <c r="J153" s="86">
        <f t="shared" si="44"/>
        <v>0</v>
      </c>
      <c r="P153" s="34"/>
      <c r="Q153" s="39"/>
      <c r="R153" s="39"/>
      <c r="S153" s="39"/>
    </row>
    <row r="154" spans="2:19" s="85" customFormat="1">
      <c r="B154" s="109" t="s">
        <v>203</v>
      </c>
      <c r="C154" s="87"/>
      <c r="D154" s="67">
        <f>C154*2000*1300/1000/1000</f>
        <v>0</v>
      </c>
      <c r="E154" s="86">
        <f t="shared" si="44"/>
        <v>0</v>
      </c>
      <c r="F154" s="86">
        <f t="shared" si="44"/>
        <v>0</v>
      </c>
      <c r="G154" s="86">
        <f t="shared" si="44"/>
        <v>0</v>
      </c>
      <c r="H154" s="86">
        <f t="shared" si="44"/>
        <v>0</v>
      </c>
      <c r="I154" s="86">
        <f t="shared" si="44"/>
        <v>0</v>
      </c>
      <c r="J154" s="86">
        <f t="shared" si="44"/>
        <v>0</v>
      </c>
      <c r="P154" s="34"/>
      <c r="Q154" s="39"/>
      <c r="R154" s="39"/>
      <c r="S154" s="39"/>
    </row>
    <row r="155" spans="2:19" s="85" customFormat="1">
      <c r="B155" s="289" t="s">
        <v>220</v>
      </c>
      <c r="C155" s="290"/>
      <c r="D155" s="290"/>
      <c r="E155" s="291"/>
      <c r="F155" s="291"/>
      <c r="G155" s="291"/>
      <c r="H155" s="291"/>
      <c r="I155" s="291"/>
      <c r="J155" s="291"/>
      <c r="P155" s="34"/>
      <c r="Q155" s="39"/>
      <c r="R155" s="39"/>
      <c r="S155" s="39"/>
    </row>
    <row r="156" spans="2:19" s="85" customFormat="1">
      <c r="B156" s="292" t="s">
        <v>219</v>
      </c>
      <c r="C156" s="293"/>
      <c r="D156" s="294">
        <f>+C156*1.12*0.485</f>
        <v>0</v>
      </c>
      <c r="E156" s="291">
        <f t="shared" ref="E156:J156" si="45">+$D156*E35/$K$35</f>
        <v>0</v>
      </c>
      <c r="F156" s="291">
        <f t="shared" si="45"/>
        <v>0</v>
      </c>
      <c r="G156" s="291">
        <f t="shared" si="45"/>
        <v>0</v>
      </c>
      <c r="H156" s="291">
        <f t="shared" si="45"/>
        <v>0</v>
      </c>
      <c r="I156" s="291">
        <f t="shared" si="45"/>
        <v>0</v>
      </c>
      <c r="J156" s="291">
        <f t="shared" si="45"/>
        <v>0</v>
      </c>
      <c r="P156" s="34"/>
      <c r="Q156" s="39"/>
      <c r="R156" s="39"/>
      <c r="S156" s="39"/>
    </row>
    <row r="157" spans="2:19" s="85" customFormat="1">
      <c r="B157" s="117" t="s">
        <v>373</v>
      </c>
      <c r="C157" s="87"/>
      <c r="D157" s="67"/>
      <c r="E157" s="86"/>
      <c r="F157" s="86"/>
      <c r="G157" s="86"/>
      <c r="H157" s="86"/>
      <c r="I157" s="86"/>
      <c r="J157" s="86"/>
      <c r="P157" s="34"/>
      <c r="Q157" s="39"/>
      <c r="R157" s="39"/>
      <c r="S157" s="39"/>
    </row>
    <row r="158" spans="2:19" s="28" customFormat="1">
      <c r="B158" s="110" t="s">
        <v>213</v>
      </c>
      <c r="C158" s="87">
        <f>+'Notice de calcul'!U56</f>
        <v>0</v>
      </c>
      <c r="D158" s="300">
        <f>+C158*0.76*0.76</f>
        <v>0</v>
      </c>
      <c r="E158" s="87">
        <f>+$D158*E$15/$K$15</f>
        <v>0</v>
      </c>
      <c r="F158" s="87">
        <f>+$D158*F$15/$K$15</f>
        <v>0</v>
      </c>
      <c r="G158" s="87">
        <f t="shared" ref="G158:J159" si="46">+$D158*G$15/$K$15</f>
        <v>0</v>
      </c>
      <c r="H158" s="87">
        <f t="shared" si="46"/>
        <v>0</v>
      </c>
      <c r="I158" s="87">
        <f t="shared" si="46"/>
        <v>0</v>
      </c>
      <c r="J158" s="87">
        <f t="shared" si="46"/>
        <v>0</v>
      </c>
      <c r="P158" s="34"/>
      <c r="Q158" s="39"/>
      <c r="R158" s="39"/>
      <c r="S158" s="39"/>
    </row>
    <row r="159" spans="2:19" s="28" customFormat="1">
      <c r="B159" s="110" t="s">
        <v>376</v>
      </c>
      <c r="C159" s="87">
        <f>+'Notice de calcul'!U57</f>
        <v>0</v>
      </c>
      <c r="D159" s="300">
        <f>+C159*1.14*0.76</f>
        <v>0</v>
      </c>
      <c r="E159" s="87">
        <f>+$D159*E$15/$K$15</f>
        <v>0</v>
      </c>
      <c r="F159" s="87">
        <f t="shared" ref="F159" si="47">+$D159*F$15/$K$15</f>
        <v>0</v>
      </c>
      <c r="G159" s="87">
        <f t="shared" si="46"/>
        <v>0</v>
      </c>
      <c r="H159" s="87">
        <f t="shared" si="46"/>
        <v>0</v>
      </c>
      <c r="I159" s="87">
        <f t="shared" si="46"/>
        <v>0</v>
      </c>
      <c r="J159" s="87">
        <f t="shared" si="46"/>
        <v>0</v>
      </c>
      <c r="P159" s="34"/>
      <c r="Q159" s="39"/>
      <c r="R159" s="39"/>
      <c r="S159" s="39"/>
    </row>
    <row r="160" spans="2:19" s="28" customFormat="1">
      <c r="B160" s="110" t="s">
        <v>216</v>
      </c>
      <c r="C160" s="87">
        <f>+'Notice de calcul'!U58</f>
        <v>0</v>
      </c>
      <c r="D160" s="300">
        <f>+C160*1.14*1.14</f>
        <v>0</v>
      </c>
      <c r="E160" s="87">
        <f t="shared" ref="E160:J165" si="48">+$D160*E$15/$K$15</f>
        <v>0</v>
      </c>
      <c r="F160" s="87">
        <f t="shared" si="48"/>
        <v>0</v>
      </c>
      <c r="G160" s="87">
        <f t="shared" si="48"/>
        <v>0</v>
      </c>
      <c r="H160" s="87">
        <f t="shared" si="48"/>
        <v>0</v>
      </c>
      <c r="I160" s="87">
        <f t="shared" si="48"/>
        <v>0</v>
      </c>
      <c r="J160" s="87">
        <f t="shared" si="48"/>
        <v>0</v>
      </c>
      <c r="P160" s="34"/>
      <c r="Q160" s="39"/>
      <c r="R160" s="39"/>
      <c r="S160" s="39"/>
    </row>
    <row r="161" spans="2:19" s="28" customFormat="1">
      <c r="B161" s="110" t="s">
        <v>411</v>
      </c>
      <c r="C161" s="87">
        <f>+'Notice de calcul'!U59</f>
        <v>0</v>
      </c>
      <c r="D161" s="300">
        <f>+C161*0.78*1.57</f>
        <v>0</v>
      </c>
      <c r="E161" s="87">
        <f t="shared" si="48"/>
        <v>0</v>
      </c>
      <c r="F161" s="87">
        <f t="shared" si="48"/>
        <v>0</v>
      </c>
      <c r="G161" s="87">
        <f t="shared" si="48"/>
        <v>0</v>
      </c>
      <c r="H161" s="87">
        <f t="shared" si="48"/>
        <v>0</v>
      </c>
      <c r="I161" s="87">
        <f t="shared" si="48"/>
        <v>0</v>
      </c>
      <c r="J161" s="87">
        <f t="shared" si="48"/>
        <v>0</v>
      </c>
      <c r="P161" s="34"/>
      <c r="Q161" s="39"/>
      <c r="R161" s="39"/>
      <c r="S161" s="39"/>
    </row>
    <row r="162" spans="2:19" s="28" customFormat="1">
      <c r="B162" s="110" t="s">
        <v>412</v>
      </c>
      <c r="C162" s="87">
        <f>+'Notice de calcul'!Z56</f>
        <v>0</v>
      </c>
      <c r="D162" s="300">
        <f>+C162*1.14*1.57</f>
        <v>0</v>
      </c>
      <c r="E162" s="87">
        <f t="shared" si="48"/>
        <v>0</v>
      </c>
      <c r="F162" s="87">
        <f t="shared" si="48"/>
        <v>0</v>
      </c>
      <c r="G162" s="87">
        <f t="shared" si="48"/>
        <v>0</v>
      </c>
      <c r="H162" s="87">
        <f t="shared" si="48"/>
        <v>0</v>
      </c>
      <c r="I162" s="87">
        <f t="shared" si="48"/>
        <v>0</v>
      </c>
      <c r="J162" s="87">
        <f t="shared" si="48"/>
        <v>0</v>
      </c>
      <c r="P162" s="34"/>
      <c r="Q162" s="39"/>
      <c r="R162" s="39"/>
      <c r="S162" s="39"/>
    </row>
    <row r="163" spans="2:19" s="28" customFormat="1">
      <c r="B163" s="110" t="s">
        <v>360</v>
      </c>
      <c r="C163" s="87">
        <f>+'Notice de calcul'!Z57</f>
        <v>0</v>
      </c>
      <c r="D163" s="300">
        <f>C163*3.141592653*350*350/1000/1000</f>
        <v>0</v>
      </c>
      <c r="E163" s="87">
        <f t="shared" si="48"/>
        <v>0</v>
      </c>
      <c r="F163" s="87">
        <f t="shared" si="48"/>
        <v>0</v>
      </c>
      <c r="G163" s="87">
        <f t="shared" si="48"/>
        <v>0</v>
      </c>
      <c r="H163" s="87">
        <f t="shared" si="48"/>
        <v>0</v>
      </c>
      <c r="I163" s="87">
        <f t="shared" si="48"/>
        <v>0</v>
      </c>
      <c r="J163" s="87">
        <f t="shared" si="48"/>
        <v>0</v>
      </c>
      <c r="P163" s="34"/>
      <c r="Q163" s="39"/>
      <c r="R163" s="39"/>
      <c r="S163" s="39"/>
    </row>
    <row r="164" spans="2:19" s="28" customFormat="1">
      <c r="B164" s="110" t="s">
        <v>361</v>
      </c>
      <c r="C164" s="87">
        <f>+'Notice de calcul'!Z58</f>
        <v>0</v>
      </c>
      <c r="D164" s="300">
        <f>C164*3.141592653*480*480/1000/1000</f>
        <v>0</v>
      </c>
      <c r="E164" s="87">
        <f t="shared" si="48"/>
        <v>0</v>
      </c>
      <c r="F164" s="87">
        <f t="shared" si="48"/>
        <v>0</v>
      </c>
      <c r="G164" s="87">
        <f t="shared" si="48"/>
        <v>0</v>
      </c>
      <c r="H164" s="87">
        <f t="shared" si="48"/>
        <v>0</v>
      </c>
      <c r="I164" s="87">
        <f t="shared" si="48"/>
        <v>0</v>
      </c>
      <c r="J164" s="87">
        <f t="shared" si="48"/>
        <v>0</v>
      </c>
      <c r="P164" s="34"/>
      <c r="Q164" s="39"/>
      <c r="R164" s="39"/>
      <c r="S164" s="39"/>
    </row>
    <row r="165" spans="2:19" s="28" customFormat="1">
      <c r="B165" s="110" t="s">
        <v>362</v>
      </c>
      <c r="C165" s="87">
        <f>+'Notice de calcul'!Z59</f>
        <v>0</v>
      </c>
      <c r="D165" s="300">
        <f>C165*3.141592653*570*570/1000/1000</f>
        <v>0</v>
      </c>
      <c r="E165" s="87">
        <f t="shared" si="48"/>
        <v>0</v>
      </c>
      <c r="F165" s="87">
        <f t="shared" si="48"/>
        <v>0</v>
      </c>
      <c r="G165" s="87">
        <f t="shared" si="48"/>
        <v>0</v>
      </c>
      <c r="H165" s="87">
        <f t="shared" si="48"/>
        <v>0</v>
      </c>
      <c r="I165" s="87">
        <f t="shared" si="48"/>
        <v>0</v>
      </c>
      <c r="J165" s="87">
        <f t="shared" si="48"/>
        <v>0</v>
      </c>
      <c r="P165" s="34"/>
      <c r="Q165" s="39"/>
      <c r="R165" s="39"/>
      <c r="S165" s="39"/>
    </row>
    <row r="166" spans="2:19" s="28" customFormat="1">
      <c r="B166" s="117" t="s">
        <v>419</v>
      </c>
      <c r="C166" s="87"/>
      <c r="D166" s="67"/>
      <c r="E166" s="86"/>
      <c r="F166" s="86"/>
      <c r="G166" s="86"/>
      <c r="H166" s="86"/>
      <c r="I166" s="86"/>
      <c r="J166" s="86"/>
      <c r="P166" s="34"/>
      <c r="Q166" s="39"/>
      <c r="R166" s="39"/>
      <c r="S166" s="39"/>
    </row>
    <row r="167" spans="2:19" s="28" customFormat="1">
      <c r="B167" s="110" t="s">
        <v>213</v>
      </c>
      <c r="C167" s="87">
        <f>+'Notice de calcul'!V56</f>
        <v>0</v>
      </c>
      <c r="D167" s="300">
        <f>+C167*0.76*0.76</f>
        <v>0</v>
      </c>
      <c r="E167" s="87">
        <f>+$D167*E$36/$K$36</f>
        <v>0</v>
      </c>
      <c r="F167" s="87">
        <f t="shared" ref="F167:J174" si="49">+$D167*F$36/$K$36</f>
        <v>0</v>
      </c>
      <c r="G167" s="87">
        <f t="shared" si="49"/>
        <v>0</v>
      </c>
      <c r="H167" s="87">
        <f t="shared" si="49"/>
        <v>0</v>
      </c>
      <c r="I167" s="87">
        <f t="shared" si="49"/>
        <v>0</v>
      </c>
      <c r="J167" s="87">
        <f t="shared" si="49"/>
        <v>0</v>
      </c>
      <c r="P167" s="34"/>
      <c r="Q167" s="39"/>
      <c r="R167" s="39"/>
      <c r="S167" s="39"/>
    </row>
    <row r="168" spans="2:19" s="28" customFormat="1">
      <c r="B168" s="110" t="s">
        <v>376</v>
      </c>
      <c r="C168" s="87">
        <f>+'Notice de calcul'!V57</f>
        <v>0</v>
      </c>
      <c r="D168" s="300">
        <f>+C168*1.14*0.76</f>
        <v>0</v>
      </c>
      <c r="E168" s="87">
        <f t="shared" ref="E168:E174" si="50">+$D168*E$36/$K$36</f>
        <v>0</v>
      </c>
      <c r="F168" s="87">
        <f t="shared" si="49"/>
        <v>0</v>
      </c>
      <c r="G168" s="87">
        <f t="shared" si="49"/>
        <v>0</v>
      </c>
      <c r="H168" s="87">
        <f t="shared" si="49"/>
        <v>0</v>
      </c>
      <c r="I168" s="87">
        <f t="shared" si="49"/>
        <v>0</v>
      </c>
      <c r="J168" s="87">
        <f t="shared" si="49"/>
        <v>0</v>
      </c>
      <c r="P168" s="34"/>
      <c r="Q168" s="39"/>
      <c r="R168" s="39"/>
      <c r="S168" s="39"/>
    </row>
    <row r="169" spans="2:19" s="28" customFormat="1">
      <c r="B169" s="110" t="s">
        <v>216</v>
      </c>
      <c r="C169" s="87">
        <f>+'Notice de calcul'!V58</f>
        <v>0</v>
      </c>
      <c r="D169" s="300">
        <f>+C169*1.14*1.14</f>
        <v>0</v>
      </c>
      <c r="E169" s="87">
        <f t="shared" si="50"/>
        <v>0</v>
      </c>
      <c r="F169" s="87">
        <f t="shared" si="49"/>
        <v>0</v>
      </c>
      <c r="G169" s="87">
        <f t="shared" si="49"/>
        <v>0</v>
      </c>
      <c r="H169" s="87">
        <f t="shared" si="49"/>
        <v>0</v>
      </c>
      <c r="I169" s="87">
        <f t="shared" si="49"/>
        <v>0</v>
      </c>
      <c r="J169" s="87">
        <f t="shared" si="49"/>
        <v>0</v>
      </c>
      <c r="P169" s="34"/>
      <c r="Q169" s="39"/>
      <c r="R169" s="39"/>
      <c r="S169" s="39"/>
    </row>
    <row r="170" spans="2:19" s="28" customFormat="1">
      <c r="B170" s="110" t="s">
        <v>411</v>
      </c>
      <c r="C170" s="87">
        <f>+'Notice de calcul'!V59</f>
        <v>0</v>
      </c>
      <c r="D170" s="300">
        <f>+C170*0.78*1.57</f>
        <v>0</v>
      </c>
      <c r="E170" s="87">
        <f t="shared" si="50"/>
        <v>0</v>
      </c>
      <c r="F170" s="87">
        <f t="shared" si="49"/>
        <v>0</v>
      </c>
      <c r="G170" s="87">
        <f t="shared" si="49"/>
        <v>0</v>
      </c>
      <c r="H170" s="87">
        <f t="shared" si="49"/>
        <v>0</v>
      </c>
      <c r="I170" s="87">
        <f t="shared" si="49"/>
        <v>0</v>
      </c>
      <c r="J170" s="87">
        <f t="shared" si="49"/>
        <v>0</v>
      </c>
      <c r="P170" s="34"/>
      <c r="Q170" s="39"/>
      <c r="R170" s="39"/>
      <c r="S170" s="39"/>
    </row>
    <row r="171" spans="2:19" s="28" customFormat="1">
      <c r="B171" s="110" t="s">
        <v>412</v>
      </c>
      <c r="C171" s="87">
        <f>+'Notice de calcul'!AA56</f>
        <v>0</v>
      </c>
      <c r="D171" s="300">
        <f>+C171*1.14*1.57</f>
        <v>0</v>
      </c>
      <c r="E171" s="87">
        <f t="shared" si="50"/>
        <v>0</v>
      </c>
      <c r="F171" s="87">
        <f t="shared" si="49"/>
        <v>0</v>
      </c>
      <c r="G171" s="87">
        <f t="shared" si="49"/>
        <v>0</v>
      </c>
      <c r="H171" s="87">
        <f t="shared" si="49"/>
        <v>0</v>
      </c>
      <c r="I171" s="87">
        <f t="shared" si="49"/>
        <v>0</v>
      </c>
      <c r="J171" s="87">
        <f t="shared" si="49"/>
        <v>0</v>
      </c>
      <c r="P171" s="34"/>
      <c r="Q171" s="39"/>
      <c r="R171" s="39"/>
      <c r="S171" s="39"/>
    </row>
    <row r="172" spans="2:19" s="28" customFormat="1">
      <c r="B172" s="110" t="s">
        <v>360</v>
      </c>
      <c r="C172" s="87">
        <f>+'Notice de calcul'!AA57</f>
        <v>0</v>
      </c>
      <c r="D172" s="300">
        <f>C172*3.141592653*350*350/1000/1000</f>
        <v>0</v>
      </c>
      <c r="E172" s="87">
        <f t="shared" si="50"/>
        <v>0</v>
      </c>
      <c r="F172" s="87">
        <f t="shared" si="49"/>
        <v>0</v>
      </c>
      <c r="G172" s="87">
        <f t="shared" si="49"/>
        <v>0</v>
      </c>
      <c r="H172" s="87">
        <f t="shared" si="49"/>
        <v>0</v>
      </c>
      <c r="I172" s="87">
        <f t="shared" si="49"/>
        <v>0</v>
      </c>
      <c r="J172" s="87">
        <f t="shared" si="49"/>
        <v>0</v>
      </c>
      <c r="P172" s="34"/>
      <c r="Q172" s="39"/>
      <c r="R172" s="39"/>
      <c r="S172" s="39"/>
    </row>
    <row r="173" spans="2:19" s="28" customFormat="1">
      <c r="B173" s="110" t="s">
        <v>361</v>
      </c>
      <c r="C173" s="87">
        <f>+'Notice de calcul'!AA58</f>
        <v>0</v>
      </c>
      <c r="D173" s="300">
        <f>C173*3.141592653*480*480/1000/1000</f>
        <v>0</v>
      </c>
      <c r="E173" s="87">
        <f t="shared" si="50"/>
        <v>0</v>
      </c>
      <c r="F173" s="87">
        <f t="shared" si="49"/>
        <v>0</v>
      </c>
      <c r="G173" s="87">
        <f t="shared" si="49"/>
        <v>0</v>
      </c>
      <c r="H173" s="87">
        <f t="shared" si="49"/>
        <v>0</v>
      </c>
      <c r="I173" s="87">
        <f t="shared" si="49"/>
        <v>0</v>
      </c>
      <c r="J173" s="87">
        <f t="shared" si="49"/>
        <v>0</v>
      </c>
      <c r="P173" s="34"/>
      <c r="Q173" s="39"/>
      <c r="R173" s="39"/>
      <c r="S173" s="39"/>
    </row>
    <row r="174" spans="2:19" s="28" customFormat="1">
      <c r="B174" s="110" t="s">
        <v>362</v>
      </c>
      <c r="C174" s="87">
        <f>+'Notice de calcul'!AA59</f>
        <v>0</v>
      </c>
      <c r="D174" s="300">
        <f>C174*3.141592653*570*570/1000/1000</f>
        <v>0</v>
      </c>
      <c r="E174" s="87">
        <f t="shared" si="50"/>
        <v>0</v>
      </c>
      <c r="F174" s="87">
        <f t="shared" si="49"/>
        <v>0</v>
      </c>
      <c r="G174" s="87">
        <f t="shared" si="49"/>
        <v>0</v>
      </c>
      <c r="H174" s="87">
        <f t="shared" si="49"/>
        <v>0</v>
      </c>
      <c r="I174" s="87">
        <f t="shared" si="49"/>
        <v>0</v>
      </c>
      <c r="J174" s="87">
        <f t="shared" si="49"/>
        <v>0</v>
      </c>
      <c r="P174" s="34"/>
      <c r="Q174" s="39"/>
      <c r="R174" s="39"/>
      <c r="S174" s="39"/>
    </row>
    <row r="175" spans="2:19" s="85" customFormat="1">
      <c r="B175" s="117" t="s">
        <v>228</v>
      </c>
      <c r="C175" s="185"/>
      <c r="D175" s="67"/>
      <c r="E175" s="86"/>
      <c r="F175" s="86"/>
      <c r="G175" s="86"/>
      <c r="H175" s="86"/>
      <c r="I175" s="86"/>
      <c r="J175" s="86"/>
      <c r="P175" s="34"/>
      <c r="Q175" s="39"/>
      <c r="R175" s="39"/>
      <c r="S175" s="39"/>
    </row>
    <row r="176" spans="2:19" s="85" customFormat="1">
      <c r="B176" s="109" t="s">
        <v>229</v>
      </c>
      <c r="C176" s="87">
        <f>+'Notice de calcul'!Q61</f>
        <v>0</v>
      </c>
      <c r="D176" s="67">
        <f>+C176*1.6*0.375*2</f>
        <v>0</v>
      </c>
      <c r="E176" s="86">
        <f t="shared" ref="E176:J177" si="51">+$D176*E37/$K37</f>
        <v>0</v>
      </c>
      <c r="F176" s="86">
        <f t="shared" si="51"/>
        <v>0</v>
      </c>
      <c r="G176" s="86">
        <f t="shared" si="51"/>
        <v>0</v>
      </c>
      <c r="H176" s="86">
        <f t="shared" si="51"/>
        <v>0</v>
      </c>
      <c r="I176" s="86">
        <f t="shared" si="51"/>
        <v>0</v>
      </c>
      <c r="J176" s="86">
        <f t="shared" si="51"/>
        <v>0</v>
      </c>
      <c r="P176" s="34"/>
      <c r="Q176" s="39"/>
      <c r="R176" s="39"/>
      <c r="S176" s="39"/>
    </row>
    <row r="177" spans="1:19" s="85" customFormat="1">
      <c r="B177" s="109" t="s">
        <v>230</v>
      </c>
      <c r="C177" s="87">
        <f>+'Notice de calcul'!Q62</f>
        <v>0</v>
      </c>
      <c r="D177" s="67">
        <f>+C177*1.6*0.375*2</f>
        <v>0</v>
      </c>
      <c r="E177" s="86">
        <f t="shared" si="51"/>
        <v>0</v>
      </c>
      <c r="F177" s="86">
        <f t="shared" si="51"/>
        <v>0</v>
      </c>
      <c r="G177" s="86">
        <f t="shared" si="51"/>
        <v>0</v>
      </c>
      <c r="H177" s="86">
        <f t="shared" si="51"/>
        <v>0</v>
      </c>
      <c r="I177" s="86">
        <f t="shared" si="51"/>
        <v>0</v>
      </c>
      <c r="J177" s="86">
        <f t="shared" si="51"/>
        <v>0</v>
      </c>
      <c r="P177" s="34"/>
      <c r="Q177" s="39"/>
      <c r="R177" s="39"/>
      <c r="S177" s="39"/>
    </row>
    <row r="178" spans="1:19" s="85" customFormat="1">
      <c r="B178" s="117" t="s">
        <v>357</v>
      </c>
      <c r="C178" s="185"/>
      <c r="D178" s="67"/>
      <c r="E178" s="86"/>
      <c r="F178" s="86"/>
      <c r="G178" s="86"/>
      <c r="H178" s="86"/>
      <c r="I178" s="86"/>
      <c r="J178" s="86"/>
      <c r="P178" s="34"/>
      <c r="Q178" s="39"/>
      <c r="R178" s="39"/>
      <c r="S178" s="39"/>
    </row>
    <row r="179" spans="1:19" s="85" customFormat="1">
      <c r="B179" s="109" t="s">
        <v>356</v>
      </c>
      <c r="C179" s="87">
        <f>+'Notice de calcul'!Q64</f>
        <v>0</v>
      </c>
      <c r="D179" s="67">
        <f>+C179*1.6*1.2</f>
        <v>0</v>
      </c>
      <c r="E179" s="86">
        <f t="shared" ref="E179:J179" si="52">+$D179*E38/$K38</f>
        <v>0</v>
      </c>
      <c r="F179" s="86">
        <f t="shared" si="52"/>
        <v>0</v>
      </c>
      <c r="G179" s="86">
        <f t="shared" si="52"/>
        <v>0</v>
      </c>
      <c r="H179" s="86">
        <f t="shared" si="52"/>
        <v>0</v>
      </c>
      <c r="I179" s="86">
        <f t="shared" si="52"/>
        <v>0</v>
      </c>
      <c r="J179" s="86">
        <f t="shared" si="52"/>
        <v>0</v>
      </c>
      <c r="P179" s="34"/>
      <c r="Q179" s="39"/>
      <c r="R179" s="39"/>
      <c r="S179" s="39"/>
    </row>
    <row r="180" spans="1:19" s="85" customFormat="1">
      <c r="A180" s="26"/>
      <c r="B180" s="388" t="s">
        <v>221</v>
      </c>
      <c r="C180" s="389"/>
      <c r="D180" s="77"/>
      <c r="E180" s="390"/>
      <c r="F180" s="390"/>
      <c r="G180" s="390"/>
      <c r="H180" s="390"/>
      <c r="I180" s="390"/>
      <c r="J180" s="390"/>
      <c r="P180" s="34"/>
      <c r="Q180" s="39"/>
      <c r="R180" s="39"/>
      <c r="S180" s="39"/>
    </row>
    <row r="181" spans="1:19" s="85" customFormat="1">
      <c r="A181" s="26"/>
      <c r="B181" s="391" t="s">
        <v>213</v>
      </c>
      <c r="C181" s="39">
        <f>+'Notice de calcul'!V64</f>
        <v>0</v>
      </c>
      <c r="D181" s="77">
        <f>+C181*0.76*0.76</f>
        <v>0</v>
      </c>
      <c r="E181" s="390">
        <f>+$D181*E$35/$K$35</f>
        <v>0</v>
      </c>
      <c r="F181" s="390">
        <f t="shared" ref="F181:J186" si="53">+$D181*F$35/$K$35</f>
        <v>0</v>
      </c>
      <c r="G181" s="390">
        <f t="shared" si="53"/>
        <v>0</v>
      </c>
      <c r="H181" s="390">
        <f t="shared" si="53"/>
        <v>0</v>
      </c>
      <c r="I181" s="390">
        <f t="shared" si="53"/>
        <v>0</v>
      </c>
      <c r="J181" s="390">
        <f t="shared" si="53"/>
        <v>0</v>
      </c>
      <c r="P181" s="34"/>
      <c r="Q181" s="39"/>
      <c r="R181" s="39"/>
      <c r="S181" s="39"/>
    </row>
    <row r="182" spans="1:19" s="85" customFormat="1">
      <c r="A182" s="26"/>
      <c r="B182" s="391" t="s">
        <v>214</v>
      </c>
      <c r="C182" s="39">
        <f>+'Notice de calcul'!V65</f>
        <v>0</v>
      </c>
      <c r="D182" s="77">
        <f>+C182*0.56*1.14</f>
        <v>0</v>
      </c>
      <c r="E182" s="390">
        <f>+$D182*E$35/$K$35</f>
        <v>0</v>
      </c>
      <c r="F182" s="390">
        <f t="shared" si="53"/>
        <v>0</v>
      </c>
      <c r="G182" s="390">
        <f t="shared" si="53"/>
        <v>0</v>
      </c>
      <c r="H182" s="390">
        <f t="shared" si="53"/>
        <v>0</v>
      </c>
      <c r="I182" s="390">
        <f t="shared" si="53"/>
        <v>0</v>
      </c>
      <c r="J182" s="390">
        <f t="shared" si="53"/>
        <v>0</v>
      </c>
      <c r="P182" s="34"/>
      <c r="Q182" s="39"/>
      <c r="R182" s="39"/>
      <c r="S182" s="39"/>
    </row>
    <row r="183" spans="1:19" s="85" customFormat="1">
      <c r="A183" s="26"/>
      <c r="B183" s="391" t="s">
        <v>411</v>
      </c>
      <c r="C183" s="39">
        <f>+'Notice de calcul'!V66</f>
        <v>0</v>
      </c>
      <c r="D183" s="77">
        <f>+C183*0.78*1.57</f>
        <v>0</v>
      </c>
      <c r="E183" s="390">
        <f t="shared" ref="E183:E186" si="54">+$D183*E$35/$K$35</f>
        <v>0</v>
      </c>
      <c r="F183" s="390">
        <f t="shared" si="53"/>
        <v>0</v>
      </c>
      <c r="G183" s="390">
        <f t="shared" si="53"/>
        <v>0</v>
      </c>
      <c r="H183" s="390">
        <f t="shared" si="53"/>
        <v>0</v>
      </c>
      <c r="I183" s="390">
        <f t="shared" si="53"/>
        <v>0</v>
      </c>
      <c r="J183" s="390">
        <f t="shared" si="53"/>
        <v>0</v>
      </c>
      <c r="P183" s="34"/>
      <c r="Q183" s="39"/>
      <c r="R183" s="39"/>
      <c r="S183" s="39"/>
    </row>
    <row r="184" spans="1:19" s="85" customFormat="1">
      <c r="A184" s="26"/>
      <c r="B184" s="391" t="s">
        <v>215</v>
      </c>
      <c r="C184" s="39">
        <f>+'Notice de calcul'!AA64</f>
        <v>0</v>
      </c>
      <c r="D184" s="77">
        <f>+C184*0.88*1.14</f>
        <v>0</v>
      </c>
      <c r="E184" s="390">
        <f t="shared" si="54"/>
        <v>0</v>
      </c>
      <c r="F184" s="390">
        <f t="shared" si="53"/>
        <v>0</v>
      </c>
      <c r="G184" s="390">
        <f t="shared" si="53"/>
        <v>0</v>
      </c>
      <c r="H184" s="390">
        <f t="shared" si="53"/>
        <v>0</v>
      </c>
      <c r="I184" s="390">
        <f t="shared" si="53"/>
        <v>0</v>
      </c>
      <c r="J184" s="390">
        <f t="shared" si="53"/>
        <v>0</v>
      </c>
      <c r="P184" s="34"/>
      <c r="Q184" s="39"/>
      <c r="R184" s="39"/>
      <c r="S184" s="39"/>
    </row>
    <row r="185" spans="1:19" s="85" customFormat="1">
      <c r="A185" s="26"/>
      <c r="B185" s="391" t="s">
        <v>216</v>
      </c>
      <c r="C185" s="39">
        <f>+'Notice de calcul'!AA65</f>
        <v>0</v>
      </c>
      <c r="D185" s="77">
        <f>+C185*1.14*1.14</f>
        <v>0</v>
      </c>
      <c r="E185" s="390">
        <f t="shared" si="54"/>
        <v>0</v>
      </c>
      <c r="F185" s="390">
        <f t="shared" si="53"/>
        <v>0</v>
      </c>
      <c r="G185" s="390">
        <f t="shared" si="53"/>
        <v>0</v>
      </c>
      <c r="H185" s="390">
        <f t="shared" si="53"/>
        <v>0</v>
      </c>
      <c r="I185" s="390">
        <f t="shared" si="53"/>
        <v>0</v>
      </c>
      <c r="J185" s="390">
        <f t="shared" si="53"/>
        <v>0</v>
      </c>
      <c r="P185" s="34"/>
      <c r="Q185" s="39"/>
      <c r="R185" s="39"/>
      <c r="S185" s="39"/>
    </row>
    <row r="186" spans="1:19" s="85" customFormat="1">
      <c r="A186" s="26"/>
      <c r="B186" s="391" t="s">
        <v>412</v>
      </c>
      <c r="C186" s="39">
        <f>+'Notice de calcul'!AA66</f>
        <v>0</v>
      </c>
      <c r="D186" s="77">
        <f>+C186*1.14*1.57</f>
        <v>0</v>
      </c>
      <c r="E186" s="390">
        <f t="shared" si="54"/>
        <v>0</v>
      </c>
      <c r="F186" s="390">
        <f t="shared" si="53"/>
        <v>0</v>
      </c>
      <c r="G186" s="390">
        <f t="shared" si="53"/>
        <v>0</v>
      </c>
      <c r="H186" s="390">
        <f t="shared" si="53"/>
        <v>0</v>
      </c>
      <c r="I186" s="390">
        <f t="shared" si="53"/>
        <v>0</v>
      </c>
      <c r="J186" s="390">
        <f t="shared" si="53"/>
        <v>0</v>
      </c>
      <c r="P186" s="34"/>
      <c r="Q186" s="39"/>
      <c r="R186" s="39"/>
      <c r="S186" s="39"/>
    </row>
    <row r="187" spans="1:19" s="85" customFormat="1">
      <c r="B187" s="117" t="s">
        <v>256</v>
      </c>
      <c r="C187" s="185"/>
      <c r="D187" s="67"/>
      <c r="E187" s="86"/>
      <c r="F187" s="86"/>
      <c r="G187" s="86"/>
      <c r="H187" s="86"/>
      <c r="I187" s="86"/>
      <c r="J187" s="86"/>
      <c r="P187" s="34"/>
      <c r="Q187" s="39"/>
      <c r="R187" s="39"/>
      <c r="S187" s="39"/>
    </row>
    <row r="188" spans="1:19" s="85" customFormat="1">
      <c r="B188" s="109" t="s">
        <v>235</v>
      </c>
      <c r="C188" s="87">
        <f>+'Notice de calcul'!AF51</f>
        <v>0</v>
      </c>
      <c r="D188" s="67">
        <f>+C188*0.47*0.7</f>
        <v>0</v>
      </c>
      <c r="E188" s="86">
        <f>+$D188*E$39/$K$39</f>
        <v>0</v>
      </c>
      <c r="F188" s="86">
        <f t="shared" ref="F188:J199" si="55">+$D188*F$39/$K$39</f>
        <v>0</v>
      </c>
      <c r="G188" s="86">
        <f t="shared" si="55"/>
        <v>0</v>
      </c>
      <c r="H188" s="86">
        <f t="shared" si="55"/>
        <v>0</v>
      </c>
      <c r="I188" s="86">
        <f t="shared" si="55"/>
        <v>0</v>
      </c>
      <c r="J188" s="86">
        <f t="shared" si="55"/>
        <v>0</v>
      </c>
      <c r="P188" s="34"/>
      <c r="Q188" s="39"/>
      <c r="R188" s="39"/>
      <c r="S188" s="39"/>
    </row>
    <row r="189" spans="1:19" s="85" customFormat="1">
      <c r="B189" s="109" t="s">
        <v>241</v>
      </c>
      <c r="C189" s="87">
        <f>+'Notice de calcul'!AI51</f>
        <v>0</v>
      </c>
      <c r="D189" s="67">
        <f>+C189*0.58*0.7</f>
        <v>0</v>
      </c>
      <c r="E189" s="86">
        <f>+$D189*E$39/$K$39</f>
        <v>0</v>
      </c>
      <c r="F189" s="86">
        <f t="shared" si="55"/>
        <v>0</v>
      </c>
      <c r="G189" s="86">
        <f t="shared" si="55"/>
        <v>0</v>
      </c>
      <c r="H189" s="86">
        <f t="shared" si="55"/>
        <v>0</v>
      </c>
      <c r="I189" s="86">
        <f t="shared" si="55"/>
        <v>0</v>
      </c>
      <c r="J189" s="86">
        <f t="shared" si="55"/>
        <v>0</v>
      </c>
      <c r="P189" s="34"/>
      <c r="Q189" s="39"/>
      <c r="R189" s="39"/>
      <c r="S189" s="39"/>
    </row>
    <row r="190" spans="1:19" s="85" customFormat="1">
      <c r="B190" s="109" t="s">
        <v>236</v>
      </c>
      <c r="C190" s="87">
        <f>+'Notice de calcul'!AF52</f>
        <v>0</v>
      </c>
      <c r="D190" s="67">
        <f>+C190*0.47*0.8</f>
        <v>0</v>
      </c>
      <c r="E190" s="86">
        <f t="shared" ref="E190:E199" si="56">+$D190*E$39/$K$39</f>
        <v>0</v>
      </c>
      <c r="F190" s="86">
        <f t="shared" si="55"/>
        <v>0</v>
      </c>
      <c r="G190" s="86">
        <f t="shared" si="55"/>
        <v>0</v>
      </c>
      <c r="H190" s="86">
        <f t="shared" si="55"/>
        <v>0</v>
      </c>
      <c r="I190" s="86">
        <f t="shared" si="55"/>
        <v>0</v>
      </c>
      <c r="J190" s="86">
        <f t="shared" si="55"/>
        <v>0</v>
      </c>
      <c r="P190" s="34"/>
      <c r="Q190" s="39"/>
      <c r="R190" s="39"/>
      <c r="S190" s="39"/>
    </row>
    <row r="191" spans="1:19" s="85" customFormat="1">
      <c r="B191" s="109" t="s">
        <v>242</v>
      </c>
      <c r="C191" s="87">
        <f>+'Notice de calcul'!AI52</f>
        <v>0</v>
      </c>
      <c r="D191" s="67">
        <f>+C191*0.58*0.8</f>
        <v>0</v>
      </c>
      <c r="E191" s="86">
        <f t="shared" si="56"/>
        <v>0</v>
      </c>
      <c r="F191" s="86">
        <f t="shared" si="55"/>
        <v>0</v>
      </c>
      <c r="G191" s="86">
        <f t="shared" si="55"/>
        <v>0</v>
      </c>
      <c r="H191" s="86">
        <f t="shared" si="55"/>
        <v>0</v>
      </c>
      <c r="I191" s="86">
        <f t="shared" si="55"/>
        <v>0</v>
      </c>
      <c r="J191" s="86">
        <f t="shared" si="55"/>
        <v>0</v>
      </c>
      <c r="P191" s="34"/>
      <c r="Q191" s="39"/>
      <c r="R191" s="39"/>
      <c r="S191" s="39"/>
    </row>
    <row r="192" spans="1:19" s="85" customFormat="1">
      <c r="B192" s="109" t="s">
        <v>237</v>
      </c>
      <c r="C192" s="87">
        <f>+'Notice de calcul'!AF53</f>
        <v>0</v>
      </c>
      <c r="D192" s="67">
        <f>+C192*0.47*1.1</f>
        <v>0</v>
      </c>
      <c r="E192" s="86">
        <f t="shared" si="56"/>
        <v>0</v>
      </c>
      <c r="F192" s="86">
        <f t="shared" si="55"/>
        <v>0</v>
      </c>
      <c r="G192" s="86">
        <f t="shared" si="55"/>
        <v>0</v>
      </c>
      <c r="H192" s="86">
        <f t="shared" si="55"/>
        <v>0</v>
      </c>
      <c r="I192" s="86">
        <f t="shared" si="55"/>
        <v>0</v>
      </c>
      <c r="J192" s="86">
        <f t="shared" si="55"/>
        <v>0</v>
      </c>
      <c r="P192" s="34"/>
      <c r="Q192" s="39"/>
      <c r="R192" s="39"/>
      <c r="S192" s="39"/>
    </row>
    <row r="193" spans="2:19" s="85" customFormat="1">
      <c r="B193" s="109" t="s">
        <v>243</v>
      </c>
      <c r="C193" s="87">
        <f>+'Notice de calcul'!AI53</f>
        <v>0</v>
      </c>
      <c r="D193" s="67">
        <f>+C193*0.58*1.1</f>
        <v>0</v>
      </c>
      <c r="E193" s="86">
        <f t="shared" si="56"/>
        <v>0</v>
      </c>
      <c r="F193" s="86">
        <f t="shared" si="55"/>
        <v>0</v>
      </c>
      <c r="G193" s="86">
        <f t="shared" si="55"/>
        <v>0</v>
      </c>
      <c r="H193" s="86">
        <f t="shared" si="55"/>
        <v>0</v>
      </c>
      <c r="I193" s="86">
        <f t="shared" si="55"/>
        <v>0</v>
      </c>
      <c r="J193" s="86">
        <f t="shared" si="55"/>
        <v>0</v>
      </c>
      <c r="P193" s="34"/>
      <c r="Q193" s="39"/>
      <c r="R193" s="39"/>
      <c r="S193" s="39"/>
    </row>
    <row r="194" spans="2:19" s="85" customFormat="1">
      <c r="B194" s="109" t="s">
        <v>238</v>
      </c>
      <c r="C194" s="87">
        <f>+'Notice de calcul'!AF54</f>
        <v>0</v>
      </c>
      <c r="D194" s="67">
        <f>+C194*0.47*1.3</f>
        <v>0</v>
      </c>
      <c r="E194" s="86">
        <f t="shared" si="56"/>
        <v>0</v>
      </c>
      <c r="F194" s="86">
        <f t="shared" si="55"/>
        <v>0</v>
      </c>
      <c r="G194" s="86">
        <f t="shared" si="55"/>
        <v>0</v>
      </c>
      <c r="H194" s="86">
        <f t="shared" si="55"/>
        <v>0</v>
      </c>
      <c r="I194" s="86">
        <f t="shared" si="55"/>
        <v>0</v>
      </c>
      <c r="J194" s="86">
        <f t="shared" si="55"/>
        <v>0</v>
      </c>
      <c r="P194" s="34"/>
      <c r="Q194" s="39"/>
      <c r="R194" s="39"/>
      <c r="S194" s="39"/>
    </row>
    <row r="195" spans="2:19" s="85" customFormat="1">
      <c r="B195" s="109" t="s">
        <v>244</v>
      </c>
      <c r="C195" s="87">
        <f>+'Notice de calcul'!AI54</f>
        <v>0</v>
      </c>
      <c r="D195" s="67">
        <f>+C195*0.58*1.3</f>
        <v>0</v>
      </c>
      <c r="E195" s="86">
        <f t="shared" si="56"/>
        <v>0</v>
      </c>
      <c r="F195" s="86">
        <f t="shared" si="55"/>
        <v>0</v>
      </c>
      <c r="G195" s="86">
        <f t="shared" si="55"/>
        <v>0</v>
      </c>
      <c r="H195" s="86">
        <f t="shared" si="55"/>
        <v>0</v>
      </c>
      <c r="I195" s="86">
        <f t="shared" si="55"/>
        <v>0</v>
      </c>
      <c r="J195" s="86">
        <f t="shared" si="55"/>
        <v>0</v>
      </c>
      <c r="P195" s="34"/>
      <c r="Q195" s="39"/>
      <c r="R195" s="39"/>
      <c r="S195" s="39"/>
    </row>
    <row r="196" spans="2:19" s="85" customFormat="1">
      <c r="B196" s="109" t="s">
        <v>239</v>
      </c>
      <c r="C196" s="87">
        <f>+'Notice de calcul'!AF55</f>
        <v>0</v>
      </c>
      <c r="D196" s="67">
        <f>+C196*0.47*1.5</f>
        <v>0</v>
      </c>
      <c r="E196" s="86">
        <f t="shared" si="56"/>
        <v>0</v>
      </c>
      <c r="F196" s="86">
        <f t="shared" si="55"/>
        <v>0</v>
      </c>
      <c r="G196" s="86">
        <f t="shared" si="55"/>
        <v>0</v>
      </c>
      <c r="H196" s="86">
        <f t="shared" si="55"/>
        <v>0</v>
      </c>
      <c r="I196" s="86">
        <f t="shared" si="55"/>
        <v>0</v>
      </c>
      <c r="J196" s="86">
        <f t="shared" si="55"/>
        <v>0</v>
      </c>
      <c r="P196" s="34"/>
      <c r="Q196" s="39"/>
      <c r="R196" s="39"/>
      <c r="S196" s="39"/>
    </row>
    <row r="197" spans="2:19" s="85" customFormat="1">
      <c r="B197" s="109" t="s">
        <v>245</v>
      </c>
      <c r="C197" s="87">
        <f>+'Notice de calcul'!AI55</f>
        <v>0</v>
      </c>
      <c r="D197" s="67">
        <f>+C197*0.58*1.5</f>
        <v>0</v>
      </c>
      <c r="E197" s="86">
        <f t="shared" si="56"/>
        <v>0</v>
      </c>
      <c r="F197" s="86">
        <f t="shared" si="55"/>
        <v>0</v>
      </c>
      <c r="G197" s="86">
        <f t="shared" si="55"/>
        <v>0</v>
      </c>
      <c r="H197" s="86">
        <f t="shared" si="55"/>
        <v>0</v>
      </c>
      <c r="I197" s="86">
        <f t="shared" si="55"/>
        <v>0</v>
      </c>
      <c r="J197" s="86">
        <f t="shared" si="55"/>
        <v>0</v>
      </c>
      <c r="P197" s="34"/>
      <c r="Q197" s="39"/>
      <c r="R197" s="39"/>
      <c r="S197" s="39"/>
    </row>
    <row r="198" spans="2:19" s="85" customFormat="1">
      <c r="B198" s="109" t="s">
        <v>240</v>
      </c>
      <c r="C198" s="87">
        <f>+'Notice de calcul'!AF56</f>
        <v>0</v>
      </c>
      <c r="D198" s="67">
        <f>+C198*0.47*1.7</f>
        <v>0</v>
      </c>
      <c r="E198" s="86">
        <f t="shared" si="56"/>
        <v>0</v>
      </c>
      <c r="F198" s="86">
        <f t="shared" si="55"/>
        <v>0</v>
      </c>
      <c r="G198" s="86">
        <f t="shared" si="55"/>
        <v>0</v>
      </c>
      <c r="H198" s="86">
        <f t="shared" si="55"/>
        <v>0</v>
      </c>
      <c r="I198" s="86">
        <f t="shared" si="55"/>
        <v>0</v>
      </c>
      <c r="J198" s="86">
        <f t="shared" si="55"/>
        <v>0</v>
      </c>
      <c r="P198" s="34"/>
      <c r="Q198" s="39"/>
      <c r="R198" s="39"/>
      <c r="S198" s="39"/>
    </row>
    <row r="199" spans="2:19" s="85" customFormat="1">
      <c r="B199" s="109" t="s">
        <v>246</v>
      </c>
      <c r="C199" s="87">
        <f>+'Notice de calcul'!AI56</f>
        <v>0</v>
      </c>
      <c r="D199" s="67">
        <f>+C199*0.58*1.7</f>
        <v>0</v>
      </c>
      <c r="E199" s="86">
        <f t="shared" si="56"/>
        <v>0</v>
      </c>
      <c r="F199" s="86">
        <f t="shared" si="55"/>
        <v>0</v>
      </c>
      <c r="G199" s="86">
        <f t="shared" si="55"/>
        <v>0</v>
      </c>
      <c r="H199" s="86">
        <f t="shared" si="55"/>
        <v>0</v>
      </c>
      <c r="I199" s="86">
        <f t="shared" si="55"/>
        <v>0</v>
      </c>
      <c r="J199" s="86">
        <f t="shared" si="55"/>
        <v>0</v>
      </c>
      <c r="P199" s="34"/>
      <c r="Q199" s="39"/>
      <c r="R199" s="39"/>
      <c r="S199" s="39"/>
    </row>
    <row r="200" spans="2:19" s="85" customFormat="1">
      <c r="B200" s="117" t="s">
        <v>257</v>
      </c>
      <c r="C200" s="87"/>
      <c r="D200" s="67"/>
      <c r="E200" s="86"/>
      <c r="F200" s="86"/>
      <c r="G200" s="86"/>
      <c r="H200" s="86"/>
      <c r="I200" s="86"/>
      <c r="J200" s="86"/>
      <c r="P200" s="34"/>
      <c r="Q200" s="39"/>
      <c r="R200" s="39"/>
      <c r="S200" s="39"/>
    </row>
    <row r="201" spans="2:19" s="85" customFormat="1">
      <c r="B201" s="109" t="s">
        <v>268</v>
      </c>
      <c r="C201" s="87">
        <f>+'Notice de calcul'!AF58</f>
        <v>0</v>
      </c>
      <c r="D201" s="67">
        <f>+C201*3*0.375*1.18</f>
        <v>0</v>
      </c>
      <c r="E201" s="86">
        <f>+$D201*E$40/$K$40</f>
        <v>0</v>
      </c>
      <c r="F201" s="86">
        <f t="shared" ref="F201:J202" si="57">+$D201*F$40/$K$40</f>
        <v>0</v>
      </c>
      <c r="G201" s="86">
        <f t="shared" si="57"/>
        <v>0</v>
      </c>
      <c r="H201" s="86">
        <f t="shared" si="57"/>
        <v>0</v>
      </c>
      <c r="I201" s="86">
        <f t="shared" si="57"/>
        <v>0</v>
      </c>
      <c r="J201" s="86">
        <f>+$D201*J$40/$K$40</f>
        <v>0</v>
      </c>
      <c r="P201" s="34"/>
      <c r="Q201" s="39"/>
      <c r="R201" s="39"/>
      <c r="S201" s="39"/>
    </row>
    <row r="202" spans="2:19" s="85" customFormat="1">
      <c r="B202" s="109" t="s">
        <v>269</v>
      </c>
      <c r="C202" s="87">
        <f>+'Notice de calcul'!AI58</f>
        <v>0</v>
      </c>
      <c r="D202" s="67">
        <f>+C202*1.8*1.18</f>
        <v>0</v>
      </c>
      <c r="E202" s="86">
        <f>+$D202*E$40/$K$40</f>
        <v>0</v>
      </c>
      <c r="F202" s="86">
        <f t="shared" si="57"/>
        <v>0</v>
      </c>
      <c r="G202" s="86">
        <f t="shared" si="57"/>
        <v>0</v>
      </c>
      <c r="H202" s="86">
        <f t="shared" si="57"/>
        <v>0</v>
      </c>
      <c r="I202" s="86">
        <f t="shared" si="57"/>
        <v>0</v>
      </c>
      <c r="J202" s="86">
        <f t="shared" si="57"/>
        <v>0</v>
      </c>
      <c r="P202" s="34"/>
      <c r="Q202" s="39"/>
      <c r="R202" s="39"/>
      <c r="S202" s="39"/>
    </row>
    <row r="203" spans="2:19" s="85" customFormat="1">
      <c r="B203" s="117" t="s">
        <v>359</v>
      </c>
      <c r="C203" s="87"/>
      <c r="D203" s="67"/>
      <c r="E203" s="86"/>
      <c r="F203" s="86"/>
      <c r="G203" s="86"/>
      <c r="H203" s="86"/>
      <c r="I203" s="86"/>
      <c r="J203" s="86"/>
      <c r="P203" s="34"/>
      <c r="Q203" s="39"/>
      <c r="R203" s="39"/>
      <c r="S203" s="39"/>
    </row>
    <row r="204" spans="2:19" s="28" customFormat="1">
      <c r="B204" s="110" t="s">
        <v>363</v>
      </c>
      <c r="C204" s="87">
        <f>+'Notice de calcul'!AF60</f>
        <v>0</v>
      </c>
      <c r="D204" s="300">
        <f>1.23*(2.44*1.2)*C204</f>
        <v>0</v>
      </c>
      <c r="E204" s="87">
        <f>+$D204*E$25/$K$25</f>
        <v>0</v>
      </c>
      <c r="F204" s="87">
        <f t="shared" ref="F204:J205" si="58">+$D204*F$25/$K$25</f>
        <v>0</v>
      </c>
      <c r="G204" s="87">
        <f t="shared" si="58"/>
        <v>0</v>
      </c>
      <c r="H204" s="87">
        <f t="shared" si="58"/>
        <v>0</v>
      </c>
      <c r="I204" s="87">
        <f t="shared" si="58"/>
        <v>0</v>
      </c>
      <c r="J204" s="87">
        <f t="shared" si="58"/>
        <v>0</v>
      </c>
      <c r="K204" s="28" t="s">
        <v>369</v>
      </c>
      <c r="P204" s="34"/>
      <c r="Q204" s="39"/>
      <c r="R204" s="39"/>
      <c r="S204" s="39"/>
    </row>
    <row r="205" spans="2:19" s="28" customFormat="1">
      <c r="B205" s="110" t="s">
        <v>364</v>
      </c>
      <c r="C205" s="87">
        <f>+'Notice de calcul'!AI60</f>
        <v>0</v>
      </c>
      <c r="D205" s="300">
        <f>0.77*(2.44*1.2)*C205</f>
        <v>0</v>
      </c>
      <c r="E205" s="87">
        <f>+$D205*E$25/$K$25</f>
        <v>0</v>
      </c>
      <c r="F205" s="87">
        <f t="shared" si="58"/>
        <v>0</v>
      </c>
      <c r="G205" s="87">
        <f t="shared" si="58"/>
        <v>0</v>
      </c>
      <c r="H205" s="87">
        <f t="shared" si="58"/>
        <v>0</v>
      </c>
      <c r="I205" s="87">
        <f t="shared" si="58"/>
        <v>0</v>
      </c>
      <c r="J205" s="87">
        <f t="shared" si="58"/>
        <v>0</v>
      </c>
      <c r="K205" s="28" t="s">
        <v>372</v>
      </c>
      <c r="P205" s="34"/>
      <c r="Q205" s="39"/>
      <c r="R205" s="39"/>
      <c r="S205" s="39"/>
    </row>
    <row r="206" spans="2:19" s="28" customFormat="1">
      <c r="B206" s="117" t="s">
        <v>380</v>
      </c>
      <c r="C206" s="87"/>
      <c r="D206" s="300"/>
      <c r="E206" s="87"/>
      <c r="F206" s="87"/>
      <c r="G206" s="87"/>
      <c r="H206" s="87"/>
      <c r="I206" s="87"/>
      <c r="J206" s="87"/>
      <c r="P206" s="34"/>
      <c r="Q206" s="39"/>
      <c r="R206" s="39"/>
      <c r="S206" s="39"/>
    </row>
    <row r="207" spans="2:19" s="286" customFormat="1">
      <c r="B207" s="283" t="s">
        <v>381</v>
      </c>
      <c r="C207" s="284">
        <f>+'Notice de calcul'!AI66</f>
        <v>0</v>
      </c>
      <c r="D207" s="285">
        <f>C207*(0.1*0.4*20)/1.17</f>
        <v>0</v>
      </c>
      <c r="E207" s="284">
        <f>+$D207*E$40/$K$40</f>
        <v>0</v>
      </c>
      <c r="F207" s="284">
        <f t="shared" ref="F207:J207" si="59">+$D207*F$40/$K$40</f>
        <v>0</v>
      </c>
      <c r="G207" s="284">
        <f t="shared" si="59"/>
        <v>0</v>
      </c>
      <c r="H207" s="284">
        <f t="shared" si="59"/>
        <v>0</v>
      </c>
      <c r="I207" s="284">
        <f t="shared" si="59"/>
        <v>0</v>
      </c>
      <c r="J207" s="284">
        <f t="shared" si="59"/>
        <v>0</v>
      </c>
      <c r="K207" s="286" t="s">
        <v>383</v>
      </c>
      <c r="P207" s="282"/>
      <c r="Q207" s="287"/>
      <c r="R207" s="287"/>
      <c r="S207" s="287"/>
    </row>
    <row r="208" spans="2:19" s="85" customFormat="1">
      <c r="B208" s="117" t="s">
        <v>258</v>
      </c>
      <c r="C208" s="87"/>
      <c r="D208" s="67"/>
      <c r="E208" s="86"/>
      <c r="F208" s="86"/>
      <c r="G208" s="86"/>
      <c r="H208" s="86"/>
      <c r="I208" s="86"/>
      <c r="J208" s="86"/>
      <c r="P208" s="34"/>
      <c r="Q208" s="39"/>
      <c r="R208" s="39"/>
      <c r="S208" s="39"/>
    </row>
    <row r="209" spans="2:19" s="85" customFormat="1">
      <c r="B209" s="109" t="s">
        <v>270</v>
      </c>
      <c r="C209" s="87">
        <f>+'Notice de calcul'!AF62</f>
        <v>0</v>
      </c>
      <c r="D209" s="67">
        <f>+C209*0.8*1.5</f>
        <v>0</v>
      </c>
      <c r="E209" s="86">
        <f t="shared" ref="E209:J213" si="60">+$D209*E$39/$K$39</f>
        <v>0</v>
      </c>
      <c r="F209" s="86">
        <f t="shared" si="60"/>
        <v>0</v>
      </c>
      <c r="G209" s="86">
        <f t="shared" si="60"/>
        <v>0</v>
      </c>
      <c r="H209" s="86">
        <f t="shared" si="60"/>
        <v>0</v>
      </c>
      <c r="I209" s="86">
        <f t="shared" si="60"/>
        <v>0</v>
      </c>
      <c r="J209" s="86">
        <f t="shared" si="60"/>
        <v>0</v>
      </c>
      <c r="P209" s="34"/>
      <c r="Q209" s="39"/>
      <c r="R209" s="39"/>
      <c r="S209" s="39"/>
    </row>
    <row r="210" spans="2:19" s="286" customFormat="1">
      <c r="B210" s="283" t="s">
        <v>377</v>
      </c>
      <c r="C210" s="284">
        <f>+'Notice de calcul'!AF63</f>
        <v>0</v>
      </c>
      <c r="D210" s="285">
        <f>+C210*1*1.5</f>
        <v>0</v>
      </c>
      <c r="E210" s="284">
        <f t="shared" si="60"/>
        <v>0</v>
      </c>
      <c r="F210" s="284">
        <f t="shared" si="60"/>
        <v>0</v>
      </c>
      <c r="G210" s="284">
        <f t="shared" si="60"/>
        <v>0</v>
      </c>
      <c r="H210" s="284">
        <f t="shared" si="60"/>
        <v>0</v>
      </c>
      <c r="I210" s="284">
        <f t="shared" si="60"/>
        <v>0</v>
      </c>
      <c r="J210" s="284">
        <f t="shared" si="60"/>
        <v>0</v>
      </c>
      <c r="P210" s="282"/>
      <c r="Q210" s="287"/>
      <c r="R210" s="287"/>
      <c r="S210" s="287"/>
    </row>
    <row r="211" spans="2:19" s="286" customFormat="1">
      <c r="B211" s="283" t="s">
        <v>356</v>
      </c>
      <c r="C211" s="284">
        <f>+'Notice de calcul'!AF64</f>
        <v>0</v>
      </c>
      <c r="D211" s="285">
        <f>+C211*1.2*1.5</f>
        <v>0</v>
      </c>
      <c r="E211" s="284">
        <f t="shared" si="60"/>
        <v>0</v>
      </c>
      <c r="F211" s="284">
        <f t="shared" si="60"/>
        <v>0</v>
      </c>
      <c r="G211" s="284">
        <f t="shared" si="60"/>
        <v>0</v>
      </c>
      <c r="H211" s="284">
        <f t="shared" si="60"/>
        <v>0</v>
      </c>
      <c r="I211" s="284">
        <f t="shared" si="60"/>
        <v>0</v>
      </c>
      <c r="J211" s="284">
        <f t="shared" si="60"/>
        <v>0</v>
      </c>
      <c r="P211" s="282"/>
      <c r="Q211" s="287"/>
      <c r="R211" s="287"/>
      <c r="S211" s="287"/>
    </row>
    <row r="212" spans="2:19" s="286" customFormat="1">
      <c r="B212" s="283" t="s">
        <v>378</v>
      </c>
      <c r="C212" s="284">
        <f>+'Notice de calcul'!AI63</f>
        <v>0</v>
      </c>
      <c r="D212" s="285">
        <f>+C212*1*1.7</f>
        <v>0</v>
      </c>
      <c r="E212" s="284">
        <f t="shared" si="60"/>
        <v>0</v>
      </c>
      <c r="F212" s="284">
        <f t="shared" si="60"/>
        <v>0</v>
      </c>
      <c r="G212" s="284">
        <f t="shared" si="60"/>
        <v>0</v>
      </c>
      <c r="H212" s="284">
        <f t="shared" si="60"/>
        <v>0</v>
      </c>
      <c r="I212" s="284">
        <f t="shared" si="60"/>
        <v>0</v>
      </c>
      <c r="J212" s="284">
        <f t="shared" si="60"/>
        <v>0</v>
      </c>
      <c r="P212" s="282"/>
      <c r="Q212" s="287"/>
      <c r="R212" s="287"/>
      <c r="S212" s="287"/>
    </row>
    <row r="213" spans="2:19" s="286" customFormat="1">
      <c r="B213" s="283" t="s">
        <v>379</v>
      </c>
      <c r="C213" s="284">
        <f>+'Notice de calcul'!AI64</f>
        <v>0</v>
      </c>
      <c r="D213" s="285">
        <f>+C213*1.2*1.7</f>
        <v>0</v>
      </c>
      <c r="E213" s="284">
        <f t="shared" si="60"/>
        <v>0</v>
      </c>
      <c r="F213" s="284">
        <f t="shared" si="60"/>
        <v>0</v>
      </c>
      <c r="G213" s="284">
        <f t="shared" si="60"/>
        <v>0</v>
      </c>
      <c r="H213" s="284">
        <f t="shared" si="60"/>
        <v>0</v>
      </c>
      <c r="I213" s="284">
        <f t="shared" si="60"/>
        <v>0</v>
      </c>
      <c r="J213" s="284">
        <f t="shared" si="60"/>
        <v>0</v>
      </c>
      <c r="P213" s="282"/>
      <c r="Q213" s="287"/>
      <c r="R213" s="287"/>
      <c r="S213" s="287"/>
    </row>
    <row r="214" spans="2:19" s="85" customFormat="1">
      <c r="B214" s="109"/>
      <c r="C214" s="87"/>
      <c r="D214" s="67"/>
      <c r="E214" s="86"/>
      <c r="F214" s="86"/>
      <c r="G214" s="86"/>
      <c r="H214" s="86"/>
      <c r="I214" s="86"/>
      <c r="J214" s="86"/>
      <c r="P214" s="34"/>
      <c r="Q214" s="39"/>
      <c r="R214" s="39"/>
      <c r="S214" s="39"/>
    </row>
    <row r="215" spans="2:19" s="85" customFormat="1">
      <c r="B215" s="109"/>
      <c r="C215" s="87"/>
      <c r="D215" s="67"/>
      <c r="E215" s="86"/>
      <c r="F215" s="86"/>
      <c r="G215" s="86"/>
      <c r="H215" s="86"/>
      <c r="I215" s="86"/>
      <c r="J215" s="86"/>
      <c r="P215" s="34"/>
      <c r="Q215" s="39"/>
      <c r="R215" s="39"/>
      <c r="S215" s="39"/>
    </row>
    <row r="216" spans="2:19" s="85" customFormat="1">
      <c r="B216" s="109"/>
      <c r="C216" s="87"/>
      <c r="D216" s="67"/>
      <c r="E216" s="86"/>
      <c r="F216" s="86"/>
      <c r="G216" s="86"/>
      <c r="H216" s="86"/>
      <c r="I216" s="86"/>
      <c r="J216" s="86"/>
      <c r="P216" s="34"/>
      <c r="Q216" s="39"/>
      <c r="R216" s="39"/>
      <c r="S216" s="39"/>
    </row>
    <row r="217" spans="2:19" s="85" customFormat="1" ht="13.8">
      <c r="B217" s="1"/>
      <c r="F217" s="87"/>
      <c r="G217" s="86"/>
      <c r="H217" s="86"/>
      <c r="P217" s="34"/>
      <c r="Q217" s="39"/>
      <c r="R217" s="39"/>
      <c r="S217" s="39"/>
    </row>
    <row r="218" spans="2:19" ht="13.5" customHeight="1">
      <c r="D218" s="33" t="s">
        <v>84</v>
      </c>
      <c r="E218" s="49"/>
      <c r="F218" s="49"/>
      <c r="G218" s="49"/>
      <c r="H218" s="49"/>
      <c r="I218" s="49"/>
      <c r="J218" s="49"/>
      <c r="O218" s="26"/>
      <c r="P218" s="26"/>
      <c r="Q218" s="26"/>
      <c r="R218" s="26"/>
    </row>
    <row r="219" spans="2:19" ht="15.6">
      <c r="D219" s="50" t="s">
        <v>75</v>
      </c>
      <c r="E219" s="51">
        <v>125</v>
      </c>
      <c r="F219" s="51">
        <v>250</v>
      </c>
      <c r="G219" s="51">
        <v>500</v>
      </c>
      <c r="H219" s="52">
        <v>1000</v>
      </c>
      <c r="I219" s="51">
        <v>2000</v>
      </c>
      <c r="J219" s="51">
        <v>4000</v>
      </c>
      <c r="K219" s="53" t="s">
        <v>85</v>
      </c>
      <c r="L219" s="54"/>
      <c r="M219" s="54"/>
      <c r="N219" s="54"/>
      <c r="O219" s="26"/>
      <c r="P219" s="26"/>
      <c r="Q219" s="26"/>
      <c r="R219" s="26"/>
    </row>
    <row r="220" spans="2:19" ht="16.5" customHeight="1">
      <c r="D220" s="55" t="s">
        <v>86</v>
      </c>
      <c r="E220" s="56">
        <v>0.01</v>
      </c>
      <c r="F220" s="56">
        <v>0.02</v>
      </c>
      <c r="G220" s="56">
        <v>0.05</v>
      </c>
      <c r="H220" s="57">
        <v>0.23</v>
      </c>
      <c r="I220" s="56">
        <v>0.51</v>
      </c>
      <c r="J220" s="56">
        <v>0.63</v>
      </c>
      <c r="K220" s="57">
        <v>0.15</v>
      </c>
      <c r="L220" s="58"/>
      <c r="M220" s="58"/>
      <c r="N220" s="58"/>
      <c r="O220" s="26"/>
      <c r="P220" s="26"/>
      <c r="Q220" s="26"/>
      <c r="R220" s="26"/>
    </row>
    <row r="221" spans="2:19" ht="16.5" customHeight="1">
      <c r="D221" s="55" t="s">
        <v>87</v>
      </c>
      <c r="E221" s="59">
        <v>0.01</v>
      </c>
      <c r="F221" s="59">
        <v>0.01</v>
      </c>
      <c r="G221" s="59">
        <v>1.3333333333333334E-2</v>
      </c>
      <c r="H221" s="42">
        <v>2.6666666666666668E-2</v>
      </c>
      <c r="I221" s="59">
        <v>0.04</v>
      </c>
      <c r="J221" s="59">
        <v>0.04</v>
      </c>
      <c r="K221" s="42">
        <v>0.05</v>
      </c>
      <c r="L221" s="58"/>
      <c r="M221" s="58"/>
      <c r="N221" s="58"/>
      <c r="O221" s="26"/>
      <c r="P221" s="26"/>
      <c r="Q221" s="26"/>
      <c r="R221" s="26"/>
    </row>
    <row r="222" spans="2:19" ht="16.5" customHeight="1">
      <c r="D222" s="55" t="s">
        <v>88</v>
      </c>
      <c r="E222" s="56">
        <v>0.02</v>
      </c>
      <c r="F222" s="56">
        <v>0.02</v>
      </c>
      <c r="G222" s="56">
        <v>0.04</v>
      </c>
      <c r="H222" s="57">
        <v>0.03</v>
      </c>
      <c r="I222" s="56">
        <v>0.03</v>
      </c>
      <c r="J222" s="56">
        <v>0.02</v>
      </c>
      <c r="K222" s="57">
        <v>0.05</v>
      </c>
      <c r="L222" s="58"/>
      <c r="M222" s="58"/>
      <c r="N222" s="58"/>
      <c r="O222" s="26"/>
      <c r="P222" s="26"/>
      <c r="Q222" s="26"/>
      <c r="R222" s="26"/>
    </row>
    <row r="223" spans="2:19" ht="16.5" customHeight="1">
      <c r="D223" s="60" t="s">
        <v>33</v>
      </c>
      <c r="E223" s="59">
        <v>0.04</v>
      </c>
      <c r="F223" s="59">
        <v>0.04</v>
      </c>
      <c r="G223" s="59">
        <v>7.0000000000000007E-2</v>
      </c>
      <c r="H223" s="230">
        <v>7.0000000000000007E-2</v>
      </c>
      <c r="I223" s="230">
        <v>7.0000000000000007E-2</v>
      </c>
      <c r="J223" s="230">
        <v>7.0000000000000007E-2</v>
      </c>
      <c r="K223" s="57">
        <v>0.05</v>
      </c>
      <c r="L223" s="58"/>
      <c r="M223" s="58"/>
      <c r="N223" s="58"/>
      <c r="O223" s="26"/>
      <c r="P223" s="26"/>
      <c r="Q223" s="26"/>
      <c r="R223" s="26"/>
    </row>
    <row r="224" spans="2:19" ht="18" customHeight="1">
      <c r="D224" s="61" t="s">
        <v>89</v>
      </c>
      <c r="E224" s="59">
        <v>0.185</v>
      </c>
      <c r="F224" s="59">
        <v>0.14000000000000001</v>
      </c>
      <c r="G224" s="59">
        <v>8.1666666666666665E-2</v>
      </c>
      <c r="H224" s="59">
        <v>5.1666666666666666E-2</v>
      </c>
      <c r="I224" s="59">
        <v>4.8333333333333332E-2</v>
      </c>
      <c r="J224" s="59">
        <v>4.4999999999999998E-2</v>
      </c>
      <c r="K224" s="57">
        <v>0.1</v>
      </c>
      <c r="L224" s="58"/>
      <c r="M224" s="58"/>
      <c r="N224" s="58"/>
      <c r="O224" s="26"/>
      <c r="P224" s="26"/>
      <c r="Q224" s="26"/>
      <c r="R224" s="26"/>
    </row>
    <row r="225" spans="4:29" ht="18" customHeight="1">
      <c r="D225" s="61" t="s">
        <v>90</v>
      </c>
      <c r="E225" s="59">
        <v>0.12</v>
      </c>
      <c r="F225" s="59">
        <v>0.08</v>
      </c>
      <c r="G225" s="59">
        <v>5.000000000000001E-2</v>
      </c>
      <c r="H225" s="59">
        <v>0.04</v>
      </c>
      <c r="I225" s="59">
        <v>0.03</v>
      </c>
      <c r="J225" s="59">
        <v>0.02</v>
      </c>
      <c r="K225" s="57">
        <v>0.05</v>
      </c>
      <c r="L225" s="58"/>
      <c r="M225" s="58"/>
      <c r="N225" s="58"/>
      <c r="O225" s="26"/>
      <c r="P225" s="26"/>
      <c r="Q225" s="26"/>
      <c r="R225" s="26"/>
    </row>
    <row r="226" spans="4:29" ht="18" customHeight="1">
      <c r="D226" s="61" t="s">
        <v>91</v>
      </c>
      <c r="E226" s="59">
        <v>0.01</v>
      </c>
      <c r="F226" s="59">
        <v>0.01</v>
      </c>
      <c r="G226" s="59">
        <v>0.02</v>
      </c>
      <c r="H226" s="59">
        <v>0.02</v>
      </c>
      <c r="I226" s="59">
        <v>0.03</v>
      </c>
      <c r="J226" s="59">
        <v>0.03</v>
      </c>
      <c r="K226" s="57">
        <v>0.05</v>
      </c>
      <c r="L226" s="58"/>
      <c r="M226" s="58"/>
      <c r="N226" s="58"/>
      <c r="O226" s="26"/>
      <c r="P226" s="26"/>
      <c r="Q226" s="26"/>
      <c r="R226" s="26"/>
    </row>
    <row r="227" spans="4:29" ht="18" customHeight="1">
      <c r="D227" s="62" t="s">
        <v>92</v>
      </c>
      <c r="E227" s="59">
        <v>0.18333333333333335</v>
      </c>
      <c r="F227" s="59">
        <v>9.9999999999999992E-2</v>
      </c>
      <c r="G227" s="59">
        <v>4.3333333333333335E-2</v>
      </c>
      <c r="H227" s="59">
        <v>0.01</v>
      </c>
      <c r="I227" s="59">
        <v>0.01</v>
      </c>
      <c r="J227" s="59">
        <v>0.01</v>
      </c>
      <c r="K227" s="57">
        <v>0.05</v>
      </c>
      <c r="L227" s="58"/>
      <c r="M227" s="58"/>
      <c r="N227" s="58"/>
      <c r="O227" s="26"/>
      <c r="P227" s="26"/>
      <c r="Q227" s="26"/>
      <c r="R227" s="26"/>
    </row>
    <row r="228" spans="4:29" ht="18" customHeight="1">
      <c r="D228" s="62" t="s">
        <v>93</v>
      </c>
      <c r="E228" s="59">
        <v>9.0000000000000011E-2</v>
      </c>
      <c r="F228" s="59">
        <v>0.04</v>
      </c>
      <c r="G228" s="59">
        <v>1.3333333333333334E-2</v>
      </c>
      <c r="H228" s="59">
        <v>0.01</v>
      </c>
      <c r="I228" s="59">
        <v>0.01</v>
      </c>
      <c r="J228" s="59">
        <v>0.01</v>
      </c>
      <c r="K228" s="57">
        <v>0.1</v>
      </c>
      <c r="L228" s="58"/>
      <c r="M228" s="58"/>
      <c r="N228" s="58"/>
      <c r="O228" s="26"/>
      <c r="P228" s="26"/>
      <c r="Q228" s="26"/>
      <c r="R228" s="26"/>
    </row>
    <row r="229" spans="4:29" ht="18" customHeight="1">
      <c r="D229" s="61" t="s">
        <v>36</v>
      </c>
      <c r="E229" s="59">
        <v>0.12</v>
      </c>
      <c r="F229" s="59">
        <v>0.08</v>
      </c>
      <c r="G229" s="59">
        <v>5.000000000000001E-2</v>
      </c>
      <c r="H229" s="59">
        <v>0.04</v>
      </c>
      <c r="I229" s="59">
        <v>0.03</v>
      </c>
      <c r="J229" s="59">
        <v>0.02</v>
      </c>
      <c r="K229" s="57">
        <v>0.05</v>
      </c>
      <c r="L229" s="58"/>
      <c r="M229" s="58"/>
      <c r="N229" s="58"/>
      <c r="O229" s="26"/>
      <c r="P229" s="26"/>
      <c r="Q229" s="26"/>
      <c r="R229" s="26"/>
    </row>
    <row r="230" spans="4:29" ht="15.6">
      <c r="D230" s="55" t="s">
        <v>94</v>
      </c>
      <c r="E230" s="63">
        <v>0.2</v>
      </c>
      <c r="F230" s="63">
        <v>0.2</v>
      </c>
      <c r="G230" s="63">
        <v>0.3</v>
      </c>
      <c r="H230" s="63">
        <v>0.35</v>
      </c>
      <c r="I230" s="63">
        <v>0.35</v>
      </c>
      <c r="J230" s="63">
        <v>0.35</v>
      </c>
      <c r="K230" s="63">
        <v>0.45</v>
      </c>
      <c r="L230" s="64"/>
      <c r="M230" s="64"/>
      <c r="N230" s="64"/>
      <c r="O230" s="65"/>
      <c r="P230" s="63">
        <v>0.45</v>
      </c>
      <c r="Q230" s="63">
        <v>0.4</v>
      </c>
      <c r="R230" s="63">
        <v>0.55000000000000004</v>
      </c>
      <c r="S230" s="63">
        <v>0.65</v>
      </c>
      <c r="T230" s="63">
        <v>0.65</v>
      </c>
      <c r="U230" s="63">
        <v>0.6</v>
      </c>
      <c r="V230" s="63">
        <v>0.6</v>
      </c>
      <c r="W230" s="66">
        <v>-0.45</v>
      </c>
      <c r="X230" s="63">
        <f>Q230*0.55</f>
        <v>0.22000000000000003</v>
      </c>
      <c r="Y230" s="63">
        <f t="shared" ref="Y230:AC230" si="61">R230*0.55</f>
        <v>0.30250000000000005</v>
      </c>
      <c r="Z230" s="63">
        <f t="shared" si="61"/>
        <v>0.35750000000000004</v>
      </c>
      <c r="AA230" s="63">
        <f t="shared" si="61"/>
        <v>0.35750000000000004</v>
      </c>
      <c r="AB230" s="63">
        <f t="shared" si="61"/>
        <v>0.33</v>
      </c>
      <c r="AC230" s="63">
        <f t="shared" si="61"/>
        <v>0.33</v>
      </c>
    </row>
    <row r="231" spans="4:29" ht="15.75" customHeight="1">
      <c r="D231" s="55" t="s">
        <v>95</v>
      </c>
      <c r="E231" s="59">
        <v>0.10000000000000002</v>
      </c>
      <c r="F231" s="59">
        <v>0.20000000000000004</v>
      </c>
      <c r="G231" s="59">
        <v>0.20000000000000004</v>
      </c>
      <c r="H231" s="59">
        <v>0.20000000000000004</v>
      </c>
      <c r="I231" s="59">
        <v>0.3</v>
      </c>
      <c r="J231" s="59">
        <v>0.3</v>
      </c>
      <c r="K231" s="57"/>
      <c r="L231" s="58"/>
      <c r="M231" s="58"/>
      <c r="N231" s="58"/>
      <c r="O231" s="26"/>
      <c r="P231" s="26"/>
      <c r="Q231" s="26"/>
      <c r="R231" s="26"/>
    </row>
    <row r="232" spans="4:29" ht="17.25" customHeight="1">
      <c r="E232" s="49"/>
      <c r="F232" s="49"/>
      <c r="G232" s="49"/>
      <c r="H232" s="49"/>
      <c r="I232" s="49"/>
      <c r="J232" s="49"/>
      <c r="K232" s="26"/>
      <c r="P232" s="23"/>
      <c r="Q232" s="67"/>
      <c r="R232" s="67"/>
      <c r="S232" s="67"/>
      <c r="T232" s="67"/>
      <c r="U232" s="67"/>
      <c r="V232" s="67"/>
    </row>
    <row r="233" spans="4:29" ht="17.25" customHeight="1">
      <c r="E233" s="49"/>
      <c r="F233" s="49"/>
      <c r="G233" s="49"/>
      <c r="H233" s="49"/>
      <c r="I233" s="49"/>
      <c r="J233" s="49"/>
      <c r="K233" s="26"/>
      <c r="P233" s="23"/>
      <c r="Q233" s="67"/>
      <c r="R233" s="67"/>
      <c r="S233" s="67"/>
      <c r="T233" s="67"/>
      <c r="U233" s="67"/>
      <c r="V233" s="67"/>
    </row>
    <row r="234" spans="4:29" ht="14.25" customHeight="1">
      <c r="D234" s="33" t="s">
        <v>96</v>
      </c>
      <c r="P234" s="23"/>
      <c r="Q234" s="67"/>
      <c r="R234" s="67"/>
      <c r="S234" s="67"/>
      <c r="T234" s="67"/>
      <c r="U234" s="67"/>
      <c r="V234" s="67"/>
    </row>
    <row r="235" spans="4:29" ht="15.6">
      <c r="D235" s="68" t="s">
        <v>97</v>
      </c>
      <c r="E235" s="69">
        <v>125</v>
      </c>
      <c r="F235" s="69">
        <v>250</v>
      </c>
      <c r="G235" s="69">
        <v>500</v>
      </c>
      <c r="H235" s="70">
        <v>1000</v>
      </c>
      <c r="I235" s="69">
        <v>2000</v>
      </c>
      <c r="J235" s="69">
        <v>4000</v>
      </c>
      <c r="K235" s="53" t="s">
        <v>49</v>
      </c>
      <c r="M235" s="54"/>
      <c r="N235" s="54"/>
    </row>
    <row r="236" spans="4:29" ht="16.5" customHeight="1">
      <c r="D236" s="71" t="s">
        <v>98</v>
      </c>
      <c r="E236" s="59">
        <f t="shared" ref="E236:J236" si="62">$K$236*E220</f>
        <v>0</v>
      </c>
      <c r="F236" s="59">
        <f t="shared" si="62"/>
        <v>0</v>
      </c>
      <c r="G236" s="59">
        <f t="shared" si="62"/>
        <v>0</v>
      </c>
      <c r="H236" s="59">
        <f t="shared" si="62"/>
        <v>0</v>
      </c>
      <c r="I236" s="59">
        <f t="shared" si="62"/>
        <v>0</v>
      </c>
      <c r="J236" s="59">
        <f t="shared" si="62"/>
        <v>0</v>
      </c>
      <c r="K236" s="59">
        <f>'Notice de calcul'!X26</f>
        <v>0</v>
      </c>
      <c r="M236" s="72"/>
      <c r="N236" s="72"/>
    </row>
    <row r="237" spans="4:29" ht="16.5" customHeight="1">
      <c r="D237" s="73" t="s">
        <v>99</v>
      </c>
      <c r="E237" s="59">
        <f t="shared" ref="E237:J237" si="63">$K$237*E221</f>
        <v>0</v>
      </c>
      <c r="F237" s="59">
        <f t="shared" si="63"/>
        <v>0</v>
      </c>
      <c r="G237" s="59">
        <f t="shared" si="63"/>
        <v>0</v>
      </c>
      <c r="H237" s="59">
        <f t="shared" si="63"/>
        <v>0</v>
      </c>
      <c r="I237" s="59">
        <f t="shared" si="63"/>
        <v>0</v>
      </c>
      <c r="J237" s="59">
        <f t="shared" si="63"/>
        <v>0</v>
      </c>
      <c r="K237" s="59">
        <f>'Notice de calcul'!X27</f>
        <v>0</v>
      </c>
      <c r="M237" s="72"/>
      <c r="N237" s="72"/>
    </row>
    <row r="238" spans="4:29" ht="16.5" customHeight="1">
      <c r="D238" s="73" t="s">
        <v>100</v>
      </c>
      <c r="E238" s="59">
        <f t="shared" ref="E238:J238" si="64">$K$238*E222</f>
        <v>0</v>
      </c>
      <c r="F238" s="59">
        <f t="shared" si="64"/>
        <v>0</v>
      </c>
      <c r="G238" s="59">
        <f t="shared" si="64"/>
        <v>0</v>
      </c>
      <c r="H238" s="59">
        <f t="shared" si="64"/>
        <v>0</v>
      </c>
      <c r="I238" s="59">
        <f t="shared" si="64"/>
        <v>0</v>
      </c>
      <c r="J238" s="59">
        <f t="shared" si="64"/>
        <v>0</v>
      </c>
      <c r="K238" s="59">
        <f>'Notice de calcul'!X28</f>
        <v>0</v>
      </c>
      <c r="M238" s="72"/>
      <c r="N238" s="72"/>
    </row>
    <row r="239" spans="4:29" ht="16.5" customHeight="1">
      <c r="D239" s="60" t="s">
        <v>101</v>
      </c>
      <c r="E239" s="59">
        <f t="shared" ref="E239:J239" si="65">$K$239*E223</f>
        <v>0</v>
      </c>
      <c r="F239" s="59">
        <f t="shared" si="65"/>
        <v>0</v>
      </c>
      <c r="G239" s="59">
        <f t="shared" si="65"/>
        <v>0</v>
      </c>
      <c r="H239" s="59">
        <f t="shared" si="65"/>
        <v>0</v>
      </c>
      <c r="I239" s="59">
        <f t="shared" si="65"/>
        <v>0</v>
      </c>
      <c r="J239" s="59">
        <f t="shared" si="65"/>
        <v>0</v>
      </c>
      <c r="K239" s="59">
        <f>'Notice de calcul'!X29+'Notice de calcul'!AI30</f>
        <v>0</v>
      </c>
      <c r="M239" s="72"/>
      <c r="N239" s="72"/>
    </row>
    <row r="240" spans="4:29" ht="15.6">
      <c r="D240" s="71" t="s">
        <v>102</v>
      </c>
      <c r="E240" s="59">
        <f t="shared" ref="E240:J240" si="66">$K$240*E224</f>
        <v>0</v>
      </c>
      <c r="F240" s="59">
        <f t="shared" si="66"/>
        <v>0</v>
      </c>
      <c r="G240" s="59">
        <f t="shared" si="66"/>
        <v>0</v>
      </c>
      <c r="H240" s="59">
        <f t="shared" si="66"/>
        <v>0</v>
      </c>
      <c r="I240" s="59">
        <f t="shared" si="66"/>
        <v>0</v>
      </c>
      <c r="J240" s="59">
        <f t="shared" si="66"/>
        <v>0</v>
      </c>
      <c r="K240" s="59">
        <f>+'Notice de calcul'!AI26+'Notice de calcul'!K26</f>
        <v>0</v>
      </c>
      <c r="M240" s="72"/>
      <c r="N240" s="72"/>
    </row>
    <row r="241" spans="4:15" ht="15.6">
      <c r="D241" s="71" t="s">
        <v>103</v>
      </c>
      <c r="E241" s="59">
        <f t="shared" ref="E241:J241" si="67">$K$241*E225</f>
        <v>0</v>
      </c>
      <c r="F241" s="59">
        <f t="shared" si="67"/>
        <v>0</v>
      </c>
      <c r="G241" s="59">
        <f t="shared" si="67"/>
        <v>0</v>
      </c>
      <c r="H241" s="59">
        <f t="shared" si="67"/>
        <v>0</v>
      </c>
      <c r="I241" s="59">
        <f t="shared" si="67"/>
        <v>0</v>
      </c>
      <c r="J241" s="59">
        <f t="shared" si="67"/>
        <v>0</v>
      </c>
      <c r="K241" s="59">
        <f>'Notice de calcul'!K27+'Notice de calcul'!AI31</f>
        <v>0</v>
      </c>
      <c r="M241" s="72"/>
      <c r="N241" s="72"/>
    </row>
    <row r="242" spans="4:15" ht="15.6">
      <c r="D242" s="71" t="s">
        <v>104</v>
      </c>
      <c r="E242" s="59">
        <f t="shared" ref="E242:J242" si="68">$K$242*E226</f>
        <v>0</v>
      </c>
      <c r="F242" s="59">
        <f t="shared" si="68"/>
        <v>0</v>
      </c>
      <c r="G242" s="59">
        <f t="shared" si="68"/>
        <v>0</v>
      </c>
      <c r="H242" s="59">
        <f t="shared" si="68"/>
        <v>0</v>
      </c>
      <c r="I242" s="59">
        <f t="shared" si="68"/>
        <v>0</v>
      </c>
      <c r="J242" s="59">
        <f t="shared" si="68"/>
        <v>0</v>
      </c>
      <c r="K242" s="59">
        <f>'Notice de calcul'!K28+'Notice de calcul'!AI28</f>
        <v>0</v>
      </c>
      <c r="M242" s="72"/>
      <c r="N242" s="72"/>
    </row>
    <row r="243" spans="4:15" ht="15.6">
      <c r="D243" s="62" t="s">
        <v>105</v>
      </c>
      <c r="E243" s="59">
        <f t="shared" ref="E243:J243" si="69">$K$243*E227</f>
        <v>0</v>
      </c>
      <c r="F243" s="59">
        <f t="shared" si="69"/>
        <v>0</v>
      </c>
      <c r="G243" s="59">
        <f t="shared" si="69"/>
        <v>0</v>
      </c>
      <c r="H243" s="59">
        <f t="shared" si="69"/>
        <v>0</v>
      </c>
      <c r="I243" s="59">
        <f t="shared" si="69"/>
        <v>0</v>
      </c>
      <c r="J243" s="59">
        <f t="shared" si="69"/>
        <v>0</v>
      </c>
      <c r="K243" s="59">
        <f>'Notice de calcul'!K29+'Notice de calcul'!AI29</f>
        <v>0</v>
      </c>
      <c r="M243" s="72"/>
      <c r="N243" s="72"/>
    </row>
    <row r="244" spans="4:15" ht="15.6">
      <c r="D244" s="62" t="s">
        <v>106</v>
      </c>
      <c r="E244" s="59">
        <f t="shared" ref="E244:J244" si="70">$K$244*E228</f>
        <v>0</v>
      </c>
      <c r="F244" s="59">
        <f t="shared" si="70"/>
        <v>0</v>
      </c>
      <c r="G244" s="59">
        <f t="shared" si="70"/>
        <v>0</v>
      </c>
      <c r="H244" s="59">
        <f t="shared" si="70"/>
        <v>0</v>
      </c>
      <c r="I244" s="59">
        <f t="shared" si="70"/>
        <v>0</v>
      </c>
      <c r="J244" s="59">
        <f t="shared" si="70"/>
        <v>0</v>
      </c>
      <c r="K244" s="59">
        <f>'Notice de calcul'!K30</f>
        <v>0</v>
      </c>
      <c r="M244" s="72"/>
      <c r="N244" s="72"/>
    </row>
    <row r="245" spans="4:15" ht="15.6">
      <c r="D245" s="71" t="s">
        <v>107</v>
      </c>
      <c r="E245" s="59">
        <f t="shared" ref="E245:J245" si="71">$K$245*E229</f>
        <v>0</v>
      </c>
      <c r="F245" s="59">
        <f t="shared" si="71"/>
        <v>0</v>
      </c>
      <c r="G245" s="59">
        <f t="shared" si="71"/>
        <v>0</v>
      </c>
      <c r="H245" s="59">
        <f t="shared" si="71"/>
        <v>0</v>
      </c>
      <c r="I245" s="59">
        <f t="shared" si="71"/>
        <v>0</v>
      </c>
      <c r="J245" s="59">
        <f t="shared" si="71"/>
        <v>0</v>
      </c>
      <c r="K245" s="59">
        <f>'Notice de calcul'!X31</f>
        <v>0</v>
      </c>
      <c r="M245" s="72"/>
      <c r="N245" s="72"/>
    </row>
    <row r="246" spans="4:15" ht="15.6">
      <c r="D246" s="71" t="s">
        <v>108</v>
      </c>
      <c r="E246" s="59">
        <f t="shared" ref="E246:J246" si="72">$K$246*E230</f>
        <v>0</v>
      </c>
      <c r="F246" s="59">
        <f t="shared" si="72"/>
        <v>0</v>
      </c>
      <c r="G246" s="59">
        <f t="shared" si="72"/>
        <v>0</v>
      </c>
      <c r="H246" s="59">
        <f t="shared" si="72"/>
        <v>0</v>
      </c>
      <c r="I246" s="59">
        <f t="shared" si="72"/>
        <v>0</v>
      </c>
      <c r="J246" s="59">
        <f t="shared" si="72"/>
        <v>0</v>
      </c>
      <c r="K246" s="59">
        <f>+'Notice de calcul'!AI27</f>
        <v>0</v>
      </c>
      <c r="M246" s="72"/>
      <c r="N246" s="72"/>
    </row>
    <row r="247" spans="4:15" ht="15.6">
      <c r="D247" s="55" t="s">
        <v>109</v>
      </c>
      <c r="E247" s="59">
        <f t="shared" ref="E247:J247" si="73">$I$2*E231</f>
        <v>0</v>
      </c>
      <c r="F247" s="59">
        <f t="shared" si="73"/>
        <v>0</v>
      </c>
      <c r="G247" s="59">
        <f t="shared" si="73"/>
        <v>0</v>
      </c>
      <c r="H247" s="59">
        <f t="shared" si="73"/>
        <v>0</v>
      </c>
      <c r="I247" s="59">
        <f t="shared" si="73"/>
        <v>0</v>
      </c>
      <c r="J247" s="59">
        <f t="shared" si="73"/>
        <v>0</v>
      </c>
      <c r="K247" s="72">
        <f>SUM(K236:K246)</f>
        <v>0</v>
      </c>
      <c r="M247" s="72"/>
      <c r="N247" s="72"/>
    </row>
    <row r="248" spans="4:15" ht="15.6">
      <c r="D248" s="57" t="s">
        <v>110</v>
      </c>
      <c r="E248" s="59">
        <f t="shared" ref="E248:J248" si="74">SUM(E236:E247)</f>
        <v>0</v>
      </c>
      <c r="F248" s="59">
        <f t="shared" si="74"/>
        <v>0</v>
      </c>
      <c r="G248" s="59">
        <f t="shared" si="74"/>
        <v>0</v>
      </c>
      <c r="H248" s="59">
        <f t="shared" si="74"/>
        <v>0</v>
      </c>
      <c r="I248" s="59">
        <f t="shared" si="74"/>
        <v>0</v>
      </c>
      <c r="J248" s="59">
        <f t="shared" si="74"/>
        <v>0</v>
      </c>
      <c r="K248" s="72"/>
      <c r="M248" s="72"/>
      <c r="N248" s="72"/>
    </row>
    <row r="249" spans="4:15" ht="15.6">
      <c r="D249" s="57" t="s">
        <v>61</v>
      </c>
      <c r="E249" s="59" t="e">
        <f>0.16*$G$5/E248</f>
        <v>#DIV/0!</v>
      </c>
      <c r="F249" s="59" t="e">
        <f t="shared" ref="F249:J249" si="75">0.16*$G$5/F248</f>
        <v>#DIV/0!</v>
      </c>
      <c r="G249" s="59" t="e">
        <f t="shared" si="75"/>
        <v>#DIV/0!</v>
      </c>
      <c r="H249" s="59" t="e">
        <f t="shared" si="75"/>
        <v>#DIV/0!</v>
      </c>
      <c r="I249" s="59" t="e">
        <f t="shared" si="75"/>
        <v>#DIV/0!</v>
      </c>
      <c r="J249" s="59" t="e">
        <f t="shared" si="75"/>
        <v>#DIV/0!</v>
      </c>
      <c r="K249" s="72"/>
      <c r="M249" s="72"/>
      <c r="N249" s="72"/>
    </row>
    <row r="250" spans="4:15" ht="15.6">
      <c r="D250" s="58"/>
      <c r="E250" s="72"/>
      <c r="F250" s="72"/>
      <c r="G250" s="577" t="e">
        <f>AVERAGE(G249:I249)</f>
        <v>#DIV/0!</v>
      </c>
      <c r="H250" s="577"/>
      <c r="I250" s="577"/>
      <c r="J250" s="72"/>
      <c r="K250" s="72"/>
      <c r="M250" s="72"/>
      <c r="N250" s="72"/>
    </row>
    <row r="251" spans="4:15" ht="6.75" customHeight="1">
      <c r="D251" s="74"/>
      <c r="E251" s="75"/>
      <c r="F251" s="75"/>
      <c r="G251" s="75"/>
      <c r="H251" s="75"/>
      <c r="I251" s="75"/>
      <c r="J251" s="75"/>
      <c r="K251" s="72"/>
      <c r="M251" s="72"/>
      <c r="N251" s="72"/>
    </row>
    <row r="252" spans="4:15" ht="17.25" customHeight="1">
      <c r="D252" s="71" t="s">
        <v>111</v>
      </c>
      <c r="E252" s="59">
        <f t="shared" ref="E252:J252" si="76">SUM(E44:E213)</f>
        <v>0</v>
      </c>
      <c r="F252" s="288">
        <f t="shared" si="76"/>
        <v>0</v>
      </c>
      <c r="G252" s="288">
        <f t="shared" si="76"/>
        <v>0</v>
      </c>
      <c r="H252" s="288">
        <f t="shared" si="76"/>
        <v>0</v>
      </c>
      <c r="I252" s="288">
        <f t="shared" si="76"/>
        <v>0</v>
      </c>
      <c r="J252" s="288">
        <f t="shared" si="76"/>
        <v>0</v>
      </c>
      <c r="K252" s="72"/>
      <c r="L252" s="72"/>
      <c r="M252" s="72"/>
      <c r="N252" s="72"/>
      <c r="O252" s="26"/>
    </row>
    <row r="253" spans="4:15" ht="17.25" customHeight="1">
      <c r="D253" s="57" t="s">
        <v>112</v>
      </c>
      <c r="E253" s="59">
        <f>E248+E252</f>
        <v>0</v>
      </c>
      <c r="F253" s="59">
        <f>F248+F252</f>
        <v>0</v>
      </c>
      <c r="G253" s="59">
        <f t="shared" ref="G253:J253" si="77">G248+G252</f>
        <v>0</v>
      </c>
      <c r="H253" s="59">
        <f t="shared" si="77"/>
        <v>0</v>
      </c>
      <c r="I253" s="59">
        <f t="shared" si="77"/>
        <v>0</v>
      </c>
      <c r="J253" s="59">
        <f t="shared" si="77"/>
        <v>0</v>
      </c>
      <c r="K253" s="72"/>
      <c r="L253" s="72"/>
      <c r="M253" s="72"/>
      <c r="N253" s="72"/>
      <c r="O253" s="26"/>
    </row>
    <row r="254" spans="4:15" ht="17.25" customHeight="1">
      <c r="D254" s="57" t="s">
        <v>62</v>
      </c>
      <c r="E254" s="76" t="e">
        <f t="shared" ref="E254:J254" si="78">0.16*$G$5/E253</f>
        <v>#DIV/0!</v>
      </c>
      <c r="F254" s="76" t="e">
        <f t="shared" si="78"/>
        <v>#DIV/0!</v>
      </c>
      <c r="G254" s="76" t="e">
        <f t="shared" si="78"/>
        <v>#DIV/0!</v>
      </c>
      <c r="H254" s="76" t="e">
        <f t="shared" si="78"/>
        <v>#DIV/0!</v>
      </c>
      <c r="I254" s="76" t="e">
        <f t="shared" si="78"/>
        <v>#DIV/0!</v>
      </c>
      <c r="J254" s="59" t="e">
        <f t="shared" si="78"/>
        <v>#DIV/0!</v>
      </c>
      <c r="K254" s="77"/>
      <c r="L254" s="77"/>
      <c r="M254" s="77"/>
      <c r="N254" s="77"/>
      <c r="O254" s="77"/>
    </row>
    <row r="255" spans="4:15" ht="15.6">
      <c r="D255" s="58"/>
      <c r="E255" s="72"/>
      <c r="F255" s="72"/>
      <c r="G255" s="578" t="e">
        <f>AVERAGE(G254:I254)</f>
        <v>#DIV/0!</v>
      </c>
      <c r="H255" s="579"/>
      <c r="I255" s="580"/>
      <c r="J255" s="72"/>
      <c r="K255" s="77"/>
      <c r="L255" s="77"/>
      <c r="M255" s="77"/>
      <c r="N255" s="77"/>
      <c r="O255" s="77"/>
    </row>
    <row r="256" spans="4:15">
      <c r="E256" s="78"/>
      <c r="F256" s="78"/>
      <c r="G256" s="78"/>
      <c r="H256" s="79"/>
      <c r="I256" s="78"/>
      <c r="J256" s="78"/>
    </row>
    <row r="257" spans="4:15" ht="15.6">
      <c r="D257" s="80"/>
      <c r="E257" s="81"/>
      <c r="F257" s="81"/>
      <c r="G257" s="81"/>
      <c r="H257" s="82"/>
      <c r="I257" s="81"/>
      <c r="J257" s="81"/>
      <c r="K257" s="26"/>
      <c r="L257" s="26"/>
      <c r="M257" s="26"/>
      <c r="N257" s="26"/>
      <c r="O257" s="26"/>
    </row>
    <row r="259" spans="4:15">
      <c r="E259" s="23" t="str">
        <f>IF(C44="Salle de réunion / formation",0.6,)&amp;IF(C44="Bureau individuel",0.6,)&amp;IF(C44="Bureaux collectifs",0.5,)&amp;IF(C44="Espace ouvert",IF(C70&lt;250,0.6,0.8),)&amp;IF(C44="Restaurant / cafétéria",IF(C70&lt;250,0.5,0.8),)</f>
        <v/>
      </c>
    </row>
  </sheetData>
  <mergeCells count="2">
    <mergeCell ref="G250:I250"/>
    <mergeCell ref="G255:I255"/>
  </mergeCells>
  <dataValidations count="2">
    <dataValidation allowBlank="1" showInputMessage="1" showErrorMessage="1" sqref="C56:C69 C92:C93 C88:C89 C96:C97 D146 F98 F217 E105:J105 C126:C131 D132 D139 D143 C72:C85 D180:D216 D100:D124" xr:uid="{00000000-0002-0000-0500-000000000000}"/>
    <dataValidation type="list" allowBlank="1" showInputMessage="1" showErrorMessage="1" sqref="Q17:Q25 Q86:Q217" xr:uid="{00000000-0002-0000-0500-000001000000}">
      <formula1>Nb</formula1>
    </dataValidation>
  </dataValidations>
  <pageMargins left="0.7" right="0.7" top="0.75" bottom="0.75" header="0.3" footer="0.3"/>
  <pageSetup paperSize="9" orientation="landscape" r:id="rId1"/>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3</vt:i4>
      </vt:variant>
    </vt:vector>
  </HeadingPairs>
  <TitlesOfParts>
    <vt:vector size="9" baseType="lpstr">
      <vt:lpstr>acoustique </vt:lpstr>
      <vt:lpstr>Doc client</vt:lpstr>
      <vt:lpstr>Notice de calcul</vt:lpstr>
      <vt:lpstr>Feuil1</vt:lpstr>
      <vt:lpstr>Datas</vt:lpstr>
      <vt:lpstr>Calcul</vt:lpstr>
      <vt:lpstr>nombre</vt:lpstr>
      <vt:lpstr>'Doc client'!Zone_d_impression</vt:lpstr>
      <vt:lpstr>'Notice de calcul'!Zone_d_impression</vt:lpstr>
    </vt:vector>
  </TitlesOfParts>
  <Company>HOYEZ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coutsiers</dc:creator>
  <cp:lastModifiedBy>Christophe SAILLY</cp:lastModifiedBy>
  <cp:lastPrinted>2023-12-20T17:39:59Z</cp:lastPrinted>
  <dcterms:created xsi:type="dcterms:W3CDTF">2007-10-01T09:52:03Z</dcterms:created>
  <dcterms:modified xsi:type="dcterms:W3CDTF">2024-10-29T11:23:46Z</dcterms:modified>
</cp:coreProperties>
</file>