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Sacha_Barré\"/>
    </mc:Choice>
  </mc:AlternateContent>
  <xr:revisionPtr revIDLastSave="0" documentId="13_ncr:1_{376CA6FF-C0B4-4751-9678-79FD0F593DC7}" xr6:coauthVersionLast="47" xr6:coauthVersionMax="47" xr10:uidLastSave="{00000000-0000-0000-0000-000000000000}"/>
  <workbookProtection workbookAlgorithmName="SHA-512" workbookHashValue="klPF/n5JQJtzJIfq4r4/MHThhWjWLeRaFyvMwlCrP9oJ260ft5xe84LXcsAITm54q8dudZWaMkqfO1GM1Oq82w==" workbookSaltValue="dtS0Oe+HEb3bHwoyQFDaEg==" workbookSpinCount="100000" lockStructure="1"/>
  <bookViews>
    <workbookView xWindow="38280" yWindow="-120" windowWidth="29040" windowHeight="15720" xr2:uid="{00000000-000D-0000-FFFF-FFFF00000000}"/>
  </bookViews>
  <sheets>
    <sheet name="Doc client" sheetId="18" r:id="rId1"/>
    <sheet name="Notice de calcul" sheetId="15" r:id="rId2"/>
    <sheet name="Datas" sheetId="17" state="hidden" r:id="rId3"/>
    <sheet name="Calcul" sheetId="16" state="hidden" r:id="rId4"/>
    <sheet name="Feuil1" sheetId="19" state="hidden" r:id="rId5"/>
  </sheets>
  <externalReferences>
    <externalReference r:id="rId6"/>
    <externalReference r:id="rId7"/>
  </externalReferences>
  <definedNames>
    <definedName name="Local">[1]Liste!$C$2:$C$6</definedName>
    <definedName name="Nb">[1]Liste!$C$16:$AG$16</definedName>
    <definedName name="nombre" localSheetId="4">[2]Datas!$C$3:$C$203</definedName>
    <definedName name="nombre">Datas!$C$3:$C$203</definedName>
    <definedName name="Usage">[1]Liste!$C$9:$C$13</definedName>
    <definedName name="_xlnm.Print_Area" localSheetId="0">'Doc client'!$B$2:$AI$84</definedName>
    <definedName name="_xlnm.Print_Area" localSheetId="1">'Notice de calcul'!$B$2:$AI$113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4" i="16" l="1"/>
  <c r="C175" i="16"/>
  <c r="C176" i="16"/>
  <c r="C173" i="16"/>
  <c r="D173" i="16" s="1"/>
  <c r="Y48" i="18"/>
  <c r="Y46" i="18"/>
  <c r="Y44" i="18"/>
  <c r="Y38" i="18"/>
  <c r="C187" i="16"/>
  <c r="C188" i="16"/>
  <c r="D188" i="16" s="1"/>
  <c r="C186" i="16"/>
  <c r="C184" i="16"/>
  <c r="C185" i="16"/>
  <c r="D185" i="16" s="1"/>
  <c r="C183" i="16"/>
  <c r="C170" i="16"/>
  <c r="D170" i="16" s="1"/>
  <c r="F170" i="16" s="1"/>
  <c r="C171" i="16"/>
  <c r="D171" i="16" s="1"/>
  <c r="C172" i="16"/>
  <c r="C169" i="16"/>
  <c r="D169" i="16" s="1"/>
  <c r="G169" i="16" s="1"/>
  <c r="C165" i="16"/>
  <c r="C166" i="16"/>
  <c r="C167" i="16"/>
  <c r="C164" i="16"/>
  <c r="C161" i="16"/>
  <c r="C162" i="16"/>
  <c r="C163" i="16"/>
  <c r="C160" i="16"/>
  <c r="C50" i="16"/>
  <c r="D50" i="16" s="1"/>
  <c r="D172" i="16"/>
  <c r="J172" i="16" s="1"/>
  <c r="D164" i="16"/>
  <c r="D163" i="16"/>
  <c r="D176" i="16"/>
  <c r="D175" i="16"/>
  <c r="D174" i="16"/>
  <c r="Z36" i="16"/>
  <c r="Y36" i="16"/>
  <c r="X36" i="16"/>
  <c r="W36" i="16"/>
  <c r="V36" i="16"/>
  <c r="U36" i="16"/>
  <c r="K36" i="16"/>
  <c r="J170" i="16" s="1"/>
  <c r="E171" i="16" l="1"/>
  <c r="F171" i="16"/>
  <c r="G171" i="16"/>
  <c r="I171" i="16"/>
  <c r="J171" i="16"/>
  <c r="H171" i="16"/>
  <c r="E170" i="16"/>
  <c r="H172" i="16"/>
  <c r="I172" i="16"/>
  <c r="G172" i="16"/>
  <c r="F175" i="16"/>
  <c r="H176" i="16"/>
  <c r="F172" i="16"/>
  <c r="E172" i="16"/>
  <c r="J169" i="16"/>
  <c r="E169" i="16"/>
  <c r="I169" i="16"/>
  <c r="H169" i="16"/>
  <c r="F169" i="16"/>
  <c r="I170" i="16"/>
  <c r="J175" i="16"/>
  <c r="H170" i="16"/>
  <c r="E175" i="16"/>
  <c r="G170" i="16"/>
  <c r="E174" i="16"/>
  <c r="G176" i="16"/>
  <c r="F176" i="16"/>
  <c r="J174" i="16"/>
  <c r="E176" i="16"/>
  <c r="I174" i="16"/>
  <c r="H174" i="16"/>
  <c r="I175" i="16"/>
  <c r="G174" i="16"/>
  <c r="J176" i="16"/>
  <c r="H175" i="16"/>
  <c r="F174" i="16"/>
  <c r="I176" i="16"/>
  <c r="G175" i="16"/>
  <c r="I173" i="16"/>
  <c r="J173" i="16"/>
  <c r="E173" i="16"/>
  <c r="F173" i="16"/>
  <c r="G173" i="16"/>
  <c r="H173" i="16"/>
  <c r="J50" i="16"/>
  <c r="H50" i="16"/>
  <c r="G50" i="16"/>
  <c r="F50" i="16"/>
  <c r="E50" i="16"/>
  <c r="I50" i="16"/>
  <c r="P46" i="18"/>
  <c r="AH50" i="18"/>
  <c r="AH47" i="18"/>
  <c r="AH44" i="18"/>
  <c r="AH40" i="18"/>
  <c r="P50" i="18"/>
  <c r="P48" i="18"/>
  <c r="AH38" i="18"/>
  <c r="C209" i="16"/>
  <c r="K70" i="15" l="1"/>
  <c r="C215" i="16"/>
  <c r="C214" i="16"/>
  <c r="C213" i="16"/>
  <c r="C212" i="16"/>
  <c r="D215" i="16" l="1"/>
  <c r="D214" i="16"/>
  <c r="D213" i="16"/>
  <c r="D212" i="16"/>
  <c r="D209" i="16"/>
  <c r="C211" i="16"/>
  <c r="D211" i="16" s="1"/>
  <c r="J209" i="16" l="1"/>
  <c r="H209" i="16"/>
  <c r="G209" i="16"/>
  <c r="F209" i="16"/>
  <c r="E209" i="16"/>
  <c r="I209" i="16"/>
  <c r="C207" i="16" l="1"/>
  <c r="D207" i="16" s="1"/>
  <c r="C206" i="16"/>
  <c r="D206" i="16" s="1"/>
  <c r="D166" i="16"/>
  <c r="D167" i="16"/>
  <c r="D165" i="16"/>
  <c r="D161" i="16"/>
  <c r="D162" i="16"/>
  <c r="D160" i="16"/>
  <c r="K25" i="16"/>
  <c r="J206" i="16" l="1"/>
  <c r="F206" i="16"/>
  <c r="I206" i="16"/>
  <c r="E206" i="16"/>
  <c r="H206" i="16"/>
  <c r="G206" i="16"/>
  <c r="J207" i="16"/>
  <c r="F207" i="16"/>
  <c r="I207" i="16"/>
  <c r="E207" i="16"/>
  <c r="H207" i="16"/>
  <c r="G207" i="16"/>
  <c r="C181" i="16" l="1"/>
  <c r="D181" i="16" s="1"/>
  <c r="C49" i="16"/>
  <c r="D49" i="16" s="1"/>
  <c r="J181" i="16" l="1"/>
  <c r="F181" i="16"/>
  <c r="G181" i="16"/>
  <c r="I181" i="16"/>
  <c r="E181" i="16"/>
  <c r="H181" i="16"/>
  <c r="P42" i="18" l="1"/>
  <c r="Y40" i="15" l="1"/>
  <c r="M40" i="15"/>
  <c r="C40" i="15"/>
  <c r="K246" i="16" l="1"/>
  <c r="K241" i="16"/>
  <c r="G45" i="18" l="1"/>
  <c r="K39" i="16"/>
  <c r="C191" i="16"/>
  <c r="D191" i="16" s="1"/>
  <c r="C192" i="16"/>
  <c r="D192" i="16" s="1"/>
  <c r="G192" i="16" s="1"/>
  <c r="C193" i="16"/>
  <c r="D193" i="16" s="1"/>
  <c r="C194" i="16"/>
  <c r="D194" i="16" s="1"/>
  <c r="G194" i="16" s="1"/>
  <c r="C195" i="16"/>
  <c r="D195" i="16" s="1"/>
  <c r="E195" i="16" s="1"/>
  <c r="C196" i="16"/>
  <c r="D196" i="16" s="1"/>
  <c r="C197" i="16"/>
  <c r="D197" i="16" s="1"/>
  <c r="C198" i="16"/>
  <c r="D198" i="16" s="1"/>
  <c r="G198" i="16" s="1"/>
  <c r="C199" i="16"/>
  <c r="D199" i="16" s="1"/>
  <c r="E199" i="16" s="1"/>
  <c r="C200" i="16"/>
  <c r="D200" i="16" s="1"/>
  <c r="G200" i="16" s="1"/>
  <c r="C201" i="16"/>
  <c r="D201" i="16" s="1"/>
  <c r="E201" i="16" s="1"/>
  <c r="C203" i="16"/>
  <c r="D203" i="16" s="1"/>
  <c r="C204" i="16"/>
  <c r="D204" i="16" s="1"/>
  <c r="C190" i="16"/>
  <c r="D190" i="16" s="1"/>
  <c r="C115" i="16"/>
  <c r="D115" i="16" s="1"/>
  <c r="C116" i="16"/>
  <c r="D116" i="16" s="1"/>
  <c r="C117" i="16"/>
  <c r="D117" i="16" s="1"/>
  <c r="C118" i="16"/>
  <c r="D118" i="16" s="1"/>
  <c r="C119" i="16"/>
  <c r="D119" i="16" s="1"/>
  <c r="C120" i="16"/>
  <c r="D120" i="16" s="1"/>
  <c r="C121" i="16"/>
  <c r="D121" i="16" s="1"/>
  <c r="C114" i="16"/>
  <c r="D114" i="16" s="1"/>
  <c r="I191" i="16" l="1"/>
  <c r="H214" i="16"/>
  <c r="J212" i="16"/>
  <c r="I212" i="16"/>
  <c r="F214" i="16"/>
  <c r="H213" i="16"/>
  <c r="E214" i="16"/>
  <c r="G213" i="16"/>
  <c r="J214" i="16"/>
  <c r="F213" i="16"/>
  <c r="I214" i="16"/>
  <c r="H215" i="16"/>
  <c r="J213" i="16"/>
  <c r="I213" i="16"/>
  <c r="J215" i="16"/>
  <c r="I215" i="16"/>
  <c r="H212" i="16"/>
  <c r="G212" i="16"/>
  <c r="E212" i="16"/>
  <c r="G214" i="16"/>
  <c r="E213" i="16"/>
  <c r="G215" i="16"/>
  <c r="F215" i="16"/>
  <c r="E215" i="16"/>
  <c r="F212" i="16"/>
  <c r="E211" i="16"/>
  <c r="J211" i="16"/>
  <c r="I211" i="16"/>
  <c r="H211" i="16"/>
  <c r="G211" i="16"/>
  <c r="F211" i="16"/>
  <c r="F190" i="16"/>
  <c r="G196" i="16"/>
  <c r="F204" i="16"/>
  <c r="J204" i="16"/>
  <c r="G204" i="16"/>
  <c r="E204" i="16"/>
  <c r="H204" i="16"/>
  <c r="I204" i="16"/>
  <c r="G203" i="16"/>
  <c r="H203" i="16"/>
  <c r="I203" i="16"/>
  <c r="F203" i="16"/>
  <c r="E203" i="16"/>
  <c r="J203" i="16"/>
  <c r="F198" i="16"/>
  <c r="E191" i="16"/>
  <c r="H191" i="16"/>
  <c r="H195" i="16"/>
  <c r="H199" i="16"/>
  <c r="J194" i="16"/>
  <c r="I190" i="16"/>
  <c r="J198" i="16"/>
  <c r="F194" i="16"/>
  <c r="E197" i="16"/>
  <c r="I197" i="16"/>
  <c r="F197" i="16"/>
  <c r="J197" i="16"/>
  <c r="G197" i="16"/>
  <c r="H197" i="16"/>
  <c r="E193" i="16"/>
  <c r="I193" i="16"/>
  <c r="F193" i="16"/>
  <c r="J193" i="16"/>
  <c r="G193" i="16"/>
  <c r="H193" i="16"/>
  <c r="H190" i="16"/>
  <c r="F191" i="16"/>
  <c r="G191" i="16"/>
  <c r="G201" i="16"/>
  <c r="I200" i="16"/>
  <c r="E200" i="16"/>
  <c r="G199" i="16"/>
  <c r="I198" i="16"/>
  <c r="E198" i="16"/>
  <c r="I196" i="16"/>
  <c r="E196" i="16"/>
  <c r="G195" i="16"/>
  <c r="I194" i="16"/>
  <c r="E194" i="16"/>
  <c r="I192" i="16"/>
  <c r="E192" i="16"/>
  <c r="J200" i="16"/>
  <c r="E190" i="16"/>
  <c r="G190" i="16"/>
  <c r="J191" i="16"/>
  <c r="J201" i="16"/>
  <c r="F201" i="16"/>
  <c r="H200" i="16"/>
  <c r="J199" i="16"/>
  <c r="F199" i="16"/>
  <c r="H198" i="16"/>
  <c r="H196" i="16"/>
  <c r="J195" i="16"/>
  <c r="F195" i="16"/>
  <c r="H194" i="16"/>
  <c r="H192" i="16"/>
  <c r="H201" i="16"/>
  <c r="F200" i="16"/>
  <c r="J196" i="16"/>
  <c r="F196" i="16"/>
  <c r="J192" i="16"/>
  <c r="F192" i="16"/>
  <c r="J190" i="16"/>
  <c r="I201" i="16"/>
  <c r="I199" i="16"/>
  <c r="I195" i="16"/>
  <c r="T24" i="18" l="1"/>
  <c r="K243" i="16" l="1"/>
  <c r="AF38" i="15"/>
  <c r="AG32" i="15"/>
  <c r="K245" i="16" l="1"/>
  <c r="K244" i="16"/>
  <c r="Z35" i="16" l="1"/>
  <c r="Y35" i="16"/>
  <c r="X35" i="16"/>
  <c r="W35" i="16"/>
  <c r="V35" i="16"/>
  <c r="U35" i="16"/>
  <c r="Z15" i="16"/>
  <c r="Y15" i="16"/>
  <c r="X15" i="16"/>
  <c r="W15" i="16"/>
  <c r="V15" i="16"/>
  <c r="U15" i="16"/>
  <c r="Z14" i="16"/>
  <c r="Y14" i="16"/>
  <c r="X14" i="16"/>
  <c r="W14" i="16"/>
  <c r="V14" i="16"/>
  <c r="U14" i="16"/>
  <c r="Y232" i="16"/>
  <c r="Z232" i="16"/>
  <c r="AA232" i="16"/>
  <c r="AB232" i="16"/>
  <c r="AC232" i="16"/>
  <c r="X232" i="16"/>
  <c r="K35" i="16" l="1"/>
  <c r="C92" i="16" l="1"/>
  <c r="C93" i="16"/>
  <c r="D184" i="16" l="1"/>
  <c r="D186" i="16"/>
  <c r="D187" i="16"/>
  <c r="D183" i="16"/>
  <c r="C179" i="16"/>
  <c r="D179" i="16" s="1"/>
  <c r="C178" i="16"/>
  <c r="K37" i="16"/>
  <c r="D158" i="16"/>
  <c r="E188" i="16" l="1"/>
  <c r="I188" i="16"/>
  <c r="J188" i="16"/>
  <c r="H188" i="16"/>
  <c r="F188" i="16"/>
  <c r="G188" i="16"/>
  <c r="E187" i="16"/>
  <c r="I187" i="16"/>
  <c r="J187" i="16"/>
  <c r="H187" i="16"/>
  <c r="F187" i="16"/>
  <c r="G187" i="16"/>
  <c r="E186" i="16"/>
  <c r="I186" i="16"/>
  <c r="H186" i="16"/>
  <c r="F186" i="16"/>
  <c r="J186" i="16"/>
  <c r="G186" i="16"/>
  <c r="E185" i="16"/>
  <c r="I185" i="16"/>
  <c r="H185" i="16"/>
  <c r="F185" i="16"/>
  <c r="J185" i="16"/>
  <c r="G185" i="16"/>
  <c r="E184" i="16"/>
  <c r="I184" i="16"/>
  <c r="F184" i="16"/>
  <c r="J184" i="16"/>
  <c r="G184" i="16"/>
  <c r="H184" i="16"/>
  <c r="H183" i="16"/>
  <c r="I183" i="16"/>
  <c r="F183" i="16"/>
  <c r="J183" i="16"/>
  <c r="G183" i="16"/>
  <c r="E183" i="16"/>
  <c r="F158" i="16"/>
  <c r="G158" i="16"/>
  <c r="H158" i="16"/>
  <c r="J158" i="16"/>
  <c r="E158" i="16"/>
  <c r="I158" i="16"/>
  <c r="D178" i="16"/>
  <c r="F179" i="16"/>
  <c r="J179" i="16"/>
  <c r="I179" i="16"/>
  <c r="G179" i="16"/>
  <c r="E179" i="16"/>
  <c r="H179" i="16"/>
  <c r="P38" i="18"/>
  <c r="C79" i="16"/>
  <c r="D79" i="16" s="1"/>
  <c r="C68" i="16"/>
  <c r="D68" i="16" s="1"/>
  <c r="C69" i="16"/>
  <c r="D69" i="16" s="1"/>
  <c r="C70" i="16"/>
  <c r="D70" i="16" s="1"/>
  <c r="C63" i="16"/>
  <c r="D63" i="16" s="1"/>
  <c r="H178" i="16" l="1"/>
  <c r="G178" i="16"/>
  <c r="E178" i="16"/>
  <c r="J178" i="16"/>
  <c r="I178" i="16"/>
  <c r="F178" i="16"/>
  <c r="C52" i="16"/>
  <c r="D52" i="16" s="1"/>
  <c r="C53" i="16"/>
  <c r="D53" i="16" s="1"/>
  <c r="C54" i="16"/>
  <c r="D54" i="16" s="1"/>
  <c r="Y42" i="18" l="1"/>
  <c r="F6" i="18"/>
  <c r="AC10" i="18" l="1"/>
  <c r="AC12" i="18"/>
  <c r="AC14" i="18" l="1"/>
  <c r="AE6" i="18"/>
  <c r="H12" i="18"/>
  <c r="H10" i="18"/>
  <c r="M6" i="18"/>
  <c r="AD24" i="18" l="1"/>
  <c r="L24" i="18"/>
  <c r="D24" i="18"/>
  <c r="Y40" i="18"/>
  <c r="P40" i="18"/>
  <c r="P44" i="18"/>
  <c r="G38" i="18"/>
  <c r="D153" i="16"/>
  <c r="D155" i="16"/>
  <c r="D156" i="16"/>
  <c r="D152" i="16"/>
  <c r="K34" i="16"/>
  <c r="K33" i="16"/>
  <c r="K32" i="16"/>
  <c r="K31" i="16"/>
  <c r="K30" i="16"/>
  <c r="AU46" i="18"/>
  <c r="AV46" i="18" s="1"/>
  <c r="AU45" i="18"/>
  <c r="AV45" i="18" s="1"/>
  <c r="AU44" i="18"/>
  <c r="AV44" i="18" s="1"/>
  <c r="AU43" i="18"/>
  <c r="AV43" i="18" s="1"/>
  <c r="AU42" i="18"/>
  <c r="AV42" i="18" s="1"/>
  <c r="AW27" i="18"/>
  <c r="E156" i="16" l="1"/>
  <c r="H153" i="16"/>
  <c r="F156" i="16"/>
  <c r="G153" i="16"/>
  <c r="J153" i="16"/>
  <c r="F153" i="16"/>
  <c r="I153" i="16"/>
  <c r="E153" i="16"/>
  <c r="D154" i="16"/>
  <c r="I156" i="16"/>
  <c r="H156" i="16"/>
  <c r="G156" i="16"/>
  <c r="J156" i="16"/>
  <c r="I152" i="16"/>
  <c r="F152" i="16"/>
  <c r="J152" i="16"/>
  <c r="G152" i="16"/>
  <c r="E152" i="16"/>
  <c r="H152" i="16"/>
  <c r="AG26" i="18"/>
  <c r="H155" i="16"/>
  <c r="F155" i="16"/>
  <c r="G155" i="16"/>
  <c r="E155" i="16"/>
  <c r="I155" i="16"/>
  <c r="J155" i="16"/>
  <c r="Z16" i="18"/>
  <c r="Z19" i="18"/>
  <c r="C47" i="16"/>
  <c r="C46" i="16"/>
  <c r="D46" i="16" s="1"/>
  <c r="J154" i="16" l="1"/>
  <c r="F154" i="16"/>
  <c r="I154" i="16"/>
  <c r="E154" i="16"/>
  <c r="G154" i="16"/>
  <c r="H154" i="16"/>
  <c r="C143" i="16"/>
  <c r="D143" i="16" s="1"/>
  <c r="C144" i="16"/>
  <c r="D144" i="16" s="1"/>
  <c r="C142" i="16"/>
  <c r="D142" i="16" s="1"/>
  <c r="D47" i="16"/>
  <c r="K18" i="16"/>
  <c r="C147" i="16"/>
  <c r="D147" i="16" s="1"/>
  <c r="C146" i="16"/>
  <c r="D146" i="16" s="1"/>
  <c r="C150" i="16"/>
  <c r="D150" i="16" s="1"/>
  <c r="C149" i="16"/>
  <c r="D149" i="16" s="1"/>
  <c r="I142" i="16" l="1"/>
  <c r="F144" i="16"/>
  <c r="J144" i="16"/>
  <c r="G144" i="16"/>
  <c r="I144" i="16"/>
  <c r="H144" i="16"/>
  <c r="E144" i="16"/>
  <c r="H143" i="16"/>
  <c r="E143" i="16"/>
  <c r="I143" i="16"/>
  <c r="G143" i="16"/>
  <c r="F143" i="16"/>
  <c r="J143" i="16"/>
  <c r="H142" i="16"/>
  <c r="E142" i="16"/>
  <c r="G142" i="16"/>
  <c r="J142" i="16"/>
  <c r="F142" i="16"/>
  <c r="C136" i="16"/>
  <c r="D136" i="16" s="1"/>
  <c r="C137" i="16"/>
  <c r="D137" i="16" s="1"/>
  <c r="C138" i="16"/>
  <c r="D138" i="16" s="1"/>
  <c r="C139" i="16"/>
  <c r="D139" i="16" s="1"/>
  <c r="C140" i="16"/>
  <c r="D140" i="16" s="1"/>
  <c r="C135" i="16"/>
  <c r="D135" i="16" s="1"/>
  <c r="C129" i="16"/>
  <c r="D129" i="16" s="1"/>
  <c r="C130" i="16"/>
  <c r="D130" i="16" s="1"/>
  <c r="C131" i="16"/>
  <c r="D131" i="16" s="1"/>
  <c r="C132" i="16"/>
  <c r="D132" i="16" s="1"/>
  <c r="C133" i="16"/>
  <c r="D133" i="16" s="1"/>
  <c r="C128" i="16"/>
  <c r="D128" i="16" s="1"/>
  <c r="K20" i="16"/>
  <c r="K19" i="16"/>
  <c r="F139" i="16" l="1"/>
  <c r="F130" i="16"/>
  <c r="E130" i="16"/>
  <c r="I139" i="16"/>
  <c r="E139" i="16"/>
  <c r="G128" i="16"/>
  <c r="E128" i="16"/>
  <c r="I128" i="16"/>
  <c r="J128" i="16"/>
  <c r="H128" i="16"/>
  <c r="F128" i="16"/>
  <c r="H133" i="16"/>
  <c r="F133" i="16"/>
  <c r="G133" i="16"/>
  <c r="E133" i="16"/>
  <c r="I133" i="16"/>
  <c r="J133" i="16"/>
  <c r="E138" i="16"/>
  <c r="H138" i="16"/>
  <c r="F138" i="16"/>
  <c r="G138" i="16"/>
  <c r="I138" i="16"/>
  <c r="J138" i="16"/>
  <c r="F132" i="16"/>
  <c r="J132" i="16"/>
  <c r="G132" i="16"/>
  <c r="H132" i="16"/>
  <c r="E132" i="16"/>
  <c r="I132" i="16"/>
  <c r="G135" i="16"/>
  <c r="E135" i="16"/>
  <c r="F135" i="16"/>
  <c r="J135" i="16"/>
  <c r="H135" i="16"/>
  <c r="I135" i="16"/>
  <c r="E137" i="16"/>
  <c r="I137" i="16"/>
  <c r="F137" i="16"/>
  <c r="J137" i="16"/>
  <c r="G137" i="16"/>
  <c r="H137" i="16"/>
  <c r="H129" i="16"/>
  <c r="F129" i="16"/>
  <c r="E129" i="16"/>
  <c r="I129" i="16"/>
  <c r="J129" i="16"/>
  <c r="G129" i="16"/>
  <c r="H131" i="16"/>
  <c r="J131" i="16"/>
  <c r="G131" i="16"/>
  <c r="E131" i="16"/>
  <c r="I131" i="16"/>
  <c r="F131" i="16"/>
  <c r="H140" i="16"/>
  <c r="J140" i="16"/>
  <c r="E140" i="16"/>
  <c r="I140" i="16"/>
  <c r="F140" i="16"/>
  <c r="G140" i="16"/>
  <c r="G136" i="16"/>
  <c r="E136" i="16"/>
  <c r="I136" i="16"/>
  <c r="J136" i="16"/>
  <c r="H136" i="16"/>
  <c r="F136" i="16"/>
  <c r="I130" i="16"/>
  <c r="G130" i="16"/>
  <c r="G139" i="16"/>
  <c r="H130" i="16"/>
  <c r="H139" i="16"/>
  <c r="J130" i="16"/>
  <c r="J139" i="16"/>
  <c r="K242" i="16" l="1"/>
  <c r="C107" i="16" l="1"/>
  <c r="D107" i="16" s="1"/>
  <c r="C108" i="16"/>
  <c r="D108" i="16" s="1"/>
  <c r="C109" i="16"/>
  <c r="D109" i="16" s="1"/>
  <c r="C110" i="16"/>
  <c r="D110" i="16" s="1"/>
  <c r="C111" i="16"/>
  <c r="D111" i="16" s="1"/>
  <c r="C112" i="16"/>
  <c r="D112" i="16" s="1"/>
  <c r="C106" i="16"/>
  <c r="D106" i="16" s="1"/>
  <c r="C105" i="16"/>
  <c r="D105" i="16" s="1"/>
  <c r="C97" i="16"/>
  <c r="D97" i="16" s="1"/>
  <c r="C98" i="16"/>
  <c r="D98" i="16" s="1"/>
  <c r="C99" i="16"/>
  <c r="D99" i="16" s="1"/>
  <c r="C100" i="16"/>
  <c r="D100" i="16" s="1"/>
  <c r="C101" i="16"/>
  <c r="D101" i="16" s="1"/>
  <c r="C102" i="16"/>
  <c r="D102" i="16" s="1"/>
  <c r="C103" i="16"/>
  <c r="D103" i="16" s="1"/>
  <c r="C96" i="16"/>
  <c r="D96" i="16" s="1"/>
  <c r="K17" i="16"/>
  <c r="K16" i="16"/>
  <c r="C55" i="16"/>
  <c r="C56" i="16"/>
  <c r="C57" i="16"/>
  <c r="C58" i="16"/>
  <c r="C59" i="16"/>
  <c r="C60" i="16"/>
  <c r="C61" i="16"/>
  <c r="C62" i="16"/>
  <c r="C64" i="16"/>
  <c r="C65" i="16"/>
  <c r="C71" i="16"/>
  <c r="C72" i="16"/>
  <c r="C73" i="16"/>
  <c r="C74" i="16"/>
  <c r="C75" i="16"/>
  <c r="C76" i="16"/>
  <c r="C77" i="16"/>
  <c r="C78" i="16"/>
  <c r="C80" i="16"/>
  <c r="C81" i="16"/>
  <c r="F63" i="16" l="1"/>
  <c r="H63" i="16"/>
  <c r="J63" i="16"/>
  <c r="I63" i="16"/>
  <c r="E63" i="16"/>
  <c r="G63" i="16"/>
  <c r="E54" i="16"/>
  <c r="E53" i="16"/>
  <c r="F53" i="16"/>
  <c r="I52" i="16"/>
  <c r="F52" i="16"/>
  <c r="H53" i="16"/>
  <c r="G52" i="16"/>
  <c r="J54" i="16"/>
  <c r="H54" i="16"/>
  <c r="G53" i="16"/>
  <c r="J52" i="16"/>
  <c r="E52" i="16"/>
  <c r="H52" i="16"/>
  <c r="I54" i="16"/>
  <c r="F54" i="16"/>
  <c r="G54" i="16"/>
  <c r="I53" i="16"/>
  <c r="J53" i="16"/>
  <c r="E68" i="16"/>
  <c r="J79" i="16"/>
  <c r="I70" i="16"/>
  <c r="J70" i="16"/>
  <c r="F69" i="16"/>
  <c r="G68" i="16"/>
  <c r="J69" i="16"/>
  <c r="E70" i="16"/>
  <c r="I68" i="16"/>
  <c r="E79" i="16"/>
  <c r="G79" i="16"/>
  <c r="G70" i="16"/>
  <c r="E69" i="16"/>
  <c r="H68" i="16"/>
  <c r="F79" i="16"/>
  <c r="H69" i="16"/>
  <c r="I79" i="16"/>
  <c r="H79" i="16"/>
  <c r="H70" i="16"/>
  <c r="I69" i="16"/>
  <c r="G69" i="16"/>
  <c r="F68" i="16"/>
  <c r="F70" i="16"/>
  <c r="J68" i="16"/>
  <c r="E149" i="16"/>
  <c r="I149" i="16"/>
  <c r="I150" i="16"/>
  <c r="G150" i="16"/>
  <c r="H149" i="16"/>
  <c r="F149" i="16"/>
  <c r="F150" i="16"/>
  <c r="E150" i="16"/>
  <c r="J149" i="16"/>
  <c r="J150" i="16"/>
  <c r="G149" i="16"/>
  <c r="H150" i="16"/>
  <c r="I146" i="16"/>
  <c r="E147" i="16"/>
  <c r="J146" i="16"/>
  <c r="J147" i="16"/>
  <c r="G146" i="16"/>
  <c r="E146" i="16"/>
  <c r="I147" i="16"/>
  <c r="F146" i="16"/>
  <c r="G147" i="16"/>
  <c r="H147" i="16"/>
  <c r="F147" i="16"/>
  <c r="H146" i="16"/>
  <c r="C44" i="16"/>
  <c r="D44" i="16" s="1"/>
  <c r="K29" i="16"/>
  <c r="F106" i="16" s="1"/>
  <c r="K28" i="16"/>
  <c r="E107" i="16" l="1"/>
  <c r="G106" i="16"/>
  <c r="E112" i="16"/>
  <c r="H112" i="16"/>
  <c r="G105" i="16"/>
  <c r="I108" i="16"/>
  <c r="F110" i="16"/>
  <c r="J111" i="16"/>
  <c r="E103" i="16"/>
  <c r="E117" i="16"/>
  <c r="G117" i="16"/>
  <c r="H118" i="16"/>
  <c r="G116" i="16"/>
  <c r="E116" i="16"/>
  <c r="H114" i="16"/>
  <c r="E121" i="16"/>
  <c r="H121" i="16"/>
  <c r="F120" i="16"/>
  <c r="E119" i="16"/>
  <c r="G119" i="16"/>
  <c r="F115" i="16"/>
  <c r="I118" i="16"/>
  <c r="G114" i="16"/>
  <c r="J120" i="16"/>
  <c r="H115" i="16"/>
  <c r="I117" i="16"/>
  <c r="H117" i="16"/>
  <c r="F118" i="16"/>
  <c r="J116" i="16"/>
  <c r="I116" i="16"/>
  <c r="F114" i="16"/>
  <c r="I121" i="16"/>
  <c r="G121" i="16"/>
  <c r="E120" i="16"/>
  <c r="I119" i="16"/>
  <c r="H119" i="16"/>
  <c r="J115" i="16"/>
  <c r="J118" i="16"/>
  <c r="F116" i="16"/>
  <c r="J121" i="16"/>
  <c r="I115" i="16"/>
  <c r="F117" i="16"/>
  <c r="G118" i="16"/>
  <c r="E118" i="16"/>
  <c r="H116" i="16"/>
  <c r="I114" i="16"/>
  <c r="E114" i="16"/>
  <c r="F121" i="16"/>
  <c r="G120" i="16"/>
  <c r="I120" i="16"/>
  <c r="F119" i="16"/>
  <c r="E115" i="16"/>
  <c r="G115" i="16"/>
  <c r="J117" i="16"/>
  <c r="J114" i="16"/>
  <c r="H120" i="16"/>
  <c r="J119" i="16"/>
  <c r="I105" i="16"/>
  <c r="H111" i="16"/>
  <c r="I101" i="16"/>
  <c r="I112" i="16"/>
  <c r="F105" i="16"/>
  <c r="J100" i="16"/>
  <c r="F107" i="16"/>
  <c r="G111" i="16"/>
  <c r="H99" i="16"/>
  <c r="E108" i="16"/>
  <c r="J109" i="16"/>
  <c r="I106" i="16"/>
  <c r="G108" i="16"/>
  <c r="I98" i="16"/>
  <c r="H109" i="16"/>
  <c r="G103" i="16"/>
  <c r="J102" i="16"/>
  <c r="H96" i="16"/>
  <c r="G97" i="16"/>
  <c r="G112" i="16"/>
  <c r="J110" i="16"/>
  <c r="E105" i="16"/>
  <c r="E96" i="16"/>
  <c r="I111" i="16"/>
  <c r="G101" i="16"/>
  <c r="H108" i="16"/>
  <c r="E102" i="16"/>
  <c r="H106" i="16"/>
  <c r="E106" i="16"/>
  <c r="F100" i="16"/>
  <c r="I96" i="16"/>
  <c r="E97" i="16"/>
  <c r="H101" i="16"/>
  <c r="G99" i="16"/>
  <c r="I102" i="16"/>
  <c r="J103" i="16"/>
  <c r="J112" i="16"/>
  <c r="H110" i="16"/>
  <c r="I110" i="16"/>
  <c r="J105" i="16"/>
  <c r="G100" i="16"/>
  <c r="E100" i="16"/>
  <c r="J96" i="16"/>
  <c r="J107" i="16"/>
  <c r="H107" i="16"/>
  <c r="E111" i="16"/>
  <c r="J97" i="16"/>
  <c r="I97" i="16"/>
  <c r="F101" i="16"/>
  <c r="E99" i="16"/>
  <c r="J99" i="16"/>
  <c r="J108" i="16"/>
  <c r="F98" i="16"/>
  <c r="H98" i="16"/>
  <c r="F102" i="16"/>
  <c r="I109" i="16"/>
  <c r="F109" i="16"/>
  <c r="J106" i="16"/>
  <c r="H103" i="16"/>
  <c r="F103" i="16"/>
  <c r="G96" i="16"/>
  <c r="J101" i="16"/>
  <c r="J98" i="16"/>
  <c r="G102" i="16"/>
  <c r="F112" i="16"/>
  <c r="G110" i="16"/>
  <c r="E110" i="16"/>
  <c r="H105" i="16"/>
  <c r="H100" i="16"/>
  <c r="I100" i="16"/>
  <c r="F96" i="16"/>
  <c r="I107" i="16"/>
  <c r="G107" i="16"/>
  <c r="F111" i="16"/>
  <c r="F97" i="16"/>
  <c r="H97" i="16"/>
  <c r="E101" i="16"/>
  <c r="I99" i="16"/>
  <c r="F99" i="16"/>
  <c r="F108" i="16"/>
  <c r="E98" i="16"/>
  <c r="G98" i="16"/>
  <c r="H102" i="16"/>
  <c r="E109" i="16"/>
  <c r="G109" i="16"/>
  <c r="I103" i="16"/>
  <c r="K14" i="16"/>
  <c r="C45" i="16"/>
  <c r="D45" i="16" s="1"/>
  <c r="G46" i="16" l="1"/>
  <c r="F46" i="16"/>
  <c r="E46" i="16"/>
  <c r="I46" i="16"/>
  <c r="H46" i="16"/>
  <c r="J46" i="16"/>
  <c r="K248" i="16"/>
  <c r="AW33" i="15" l="1"/>
  <c r="K27" i="16" l="1"/>
  <c r="K26" i="16"/>
  <c r="K24" i="16" l="1"/>
  <c r="K23" i="16"/>
  <c r="K21" i="16"/>
  <c r="K22" i="16"/>
  <c r="D61" i="16" l="1"/>
  <c r="D62" i="16"/>
  <c r="D77" i="16"/>
  <c r="D78" i="16"/>
  <c r="D93" i="16"/>
  <c r="D92" i="16"/>
  <c r="C89" i="16"/>
  <c r="D89" i="16" s="1"/>
  <c r="C88" i="16"/>
  <c r="D85" i="16"/>
  <c r="D84" i="16"/>
  <c r="F27" i="16"/>
  <c r="G27" i="16"/>
  <c r="H27" i="16"/>
  <c r="I27" i="16"/>
  <c r="J27" i="16"/>
  <c r="E27" i="16"/>
  <c r="F92" i="16" l="1"/>
  <c r="F93" i="16"/>
  <c r="E84" i="16"/>
  <c r="I85" i="16"/>
  <c r="F85" i="16"/>
  <c r="J85" i="16"/>
  <c r="G85" i="16"/>
  <c r="E85" i="16"/>
  <c r="H85" i="16"/>
  <c r="I89" i="16"/>
  <c r="F89" i="16"/>
  <c r="J89" i="16"/>
  <c r="G89" i="16"/>
  <c r="E89" i="16"/>
  <c r="H89" i="16"/>
  <c r="H84" i="16"/>
  <c r="I84" i="16"/>
  <c r="F84" i="16"/>
  <c r="J84" i="16"/>
  <c r="G84" i="16"/>
  <c r="J92" i="16"/>
  <c r="G92" i="16"/>
  <c r="H92" i="16"/>
  <c r="I92" i="16"/>
  <c r="E92" i="16"/>
  <c r="I93" i="16"/>
  <c r="J93" i="16"/>
  <c r="G93" i="16"/>
  <c r="E93" i="16"/>
  <c r="H93" i="16"/>
  <c r="D88" i="16"/>
  <c r="G88" i="16" l="1"/>
  <c r="F88" i="16"/>
  <c r="J88" i="16"/>
  <c r="H88" i="16"/>
  <c r="I88" i="16"/>
  <c r="E88" i="16"/>
  <c r="J16" i="17" l="1"/>
  <c r="D76" i="16"/>
  <c r="D80" i="16"/>
  <c r="D81" i="16"/>
  <c r="D60" i="16"/>
  <c r="D64" i="16"/>
  <c r="D65" i="16"/>
  <c r="D57" i="16"/>
  <c r="D55" i="16"/>
  <c r="AU56" i="15"/>
  <c r="AV56" i="15" s="1"/>
  <c r="AU57" i="15"/>
  <c r="AV57" i="15" s="1"/>
  <c r="AU58" i="15"/>
  <c r="AV58" i="15" s="1"/>
  <c r="AU59" i="15"/>
  <c r="AV59" i="15" s="1"/>
  <c r="AU55" i="15"/>
  <c r="AV55" i="15" s="1"/>
  <c r="N8" i="17"/>
  <c r="M8" i="17"/>
  <c r="L8" i="17"/>
  <c r="K8" i="17"/>
  <c r="J8" i="17"/>
  <c r="I8" i="17"/>
  <c r="I248" i="16"/>
  <c r="K247" i="16"/>
  <c r="H247" i="16" s="1"/>
  <c r="H246" i="16"/>
  <c r="I244" i="16"/>
  <c r="H242" i="16"/>
  <c r="I241" i="16"/>
  <c r="K240" i="16"/>
  <c r="I240" i="16" s="1"/>
  <c r="K239" i="16"/>
  <c r="H239" i="16" s="1"/>
  <c r="K238" i="16"/>
  <c r="J238" i="16" s="1"/>
  <c r="D75" i="16"/>
  <c r="D73" i="16"/>
  <c r="D71" i="16"/>
  <c r="K15" i="16"/>
  <c r="F4" i="16"/>
  <c r="F3" i="16"/>
  <c r="I2" i="16"/>
  <c r="J249" i="16" s="1"/>
  <c r="F2" i="16"/>
  <c r="T38" i="15"/>
  <c r="I38" i="15"/>
  <c r="AF36" i="15"/>
  <c r="T36" i="15"/>
  <c r="I36" i="15"/>
  <c r="Z20" i="15"/>
  <c r="Z17" i="15"/>
  <c r="E164" i="16" l="1"/>
  <c r="G164" i="16"/>
  <c r="J164" i="16"/>
  <c r="F164" i="16"/>
  <c r="H163" i="16"/>
  <c r="E163" i="16"/>
  <c r="I164" i="16"/>
  <c r="F163" i="16"/>
  <c r="J163" i="16"/>
  <c r="I163" i="16"/>
  <c r="G163" i="16"/>
  <c r="H164" i="16"/>
  <c r="E160" i="16"/>
  <c r="AF46" i="15"/>
  <c r="AF33" i="18" s="1"/>
  <c r="AF45" i="15"/>
  <c r="AF32" i="18" s="1"/>
  <c r="J165" i="16"/>
  <c r="H165" i="16"/>
  <c r="I160" i="16"/>
  <c r="J166" i="16"/>
  <c r="H166" i="16"/>
  <c r="I162" i="16"/>
  <c r="J161" i="16"/>
  <c r="G161" i="16"/>
  <c r="I167" i="16"/>
  <c r="F165" i="16"/>
  <c r="G165" i="16"/>
  <c r="F166" i="16"/>
  <c r="G166" i="16"/>
  <c r="E162" i="16"/>
  <c r="F161" i="16"/>
  <c r="H161" i="16"/>
  <c r="E167" i="16"/>
  <c r="E165" i="16"/>
  <c r="J160" i="16"/>
  <c r="G160" i="16"/>
  <c r="I166" i="16"/>
  <c r="J162" i="16"/>
  <c r="H162" i="16"/>
  <c r="I161" i="16"/>
  <c r="J167" i="16"/>
  <c r="H167" i="16"/>
  <c r="F167" i="16"/>
  <c r="I165" i="16"/>
  <c r="F160" i="16"/>
  <c r="H160" i="16"/>
  <c r="E166" i="16"/>
  <c r="F162" i="16"/>
  <c r="G162" i="16"/>
  <c r="E161" i="16"/>
  <c r="G167" i="16"/>
  <c r="E49" i="16"/>
  <c r="F49" i="16"/>
  <c r="I49" i="16"/>
  <c r="J49" i="16"/>
  <c r="H49" i="16"/>
  <c r="G49" i="16"/>
  <c r="H47" i="16"/>
  <c r="F47" i="16"/>
  <c r="E47" i="16"/>
  <c r="I47" i="16"/>
  <c r="G47" i="16"/>
  <c r="J47" i="16"/>
  <c r="E45" i="16"/>
  <c r="G5" i="16"/>
  <c r="H245" i="16"/>
  <c r="K249" i="16"/>
  <c r="H243" i="16"/>
  <c r="G57" i="16"/>
  <c r="E55" i="16"/>
  <c r="F45" i="16"/>
  <c r="H45" i="16"/>
  <c r="G45" i="16"/>
  <c r="J45" i="16"/>
  <c r="I45" i="16"/>
  <c r="I62" i="16"/>
  <c r="F61" i="16"/>
  <c r="H62" i="16"/>
  <c r="G61" i="16"/>
  <c r="E62" i="16"/>
  <c r="H61" i="16"/>
  <c r="G62" i="16"/>
  <c r="J62" i="16"/>
  <c r="J61" i="16"/>
  <c r="F62" i="16"/>
  <c r="E61" i="16"/>
  <c r="I61" i="16"/>
  <c r="I78" i="16"/>
  <c r="H78" i="16"/>
  <c r="G77" i="16"/>
  <c r="I77" i="16"/>
  <c r="J77" i="16"/>
  <c r="E78" i="16"/>
  <c r="F78" i="16"/>
  <c r="H77" i="16"/>
  <c r="F77" i="16"/>
  <c r="J78" i="16"/>
  <c r="G78" i="16"/>
  <c r="E77" i="16"/>
  <c r="G75" i="16"/>
  <c r="H75" i="16"/>
  <c r="F75" i="16"/>
  <c r="E75" i="16"/>
  <c r="I75" i="16"/>
  <c r="J75" i="16"/>
  <c r="G80" i="16"/>
  <c r="H80" i="16"/>
  <c r="F80" i="16"/>
  <c r="E80" i="16"/>
  <c r="I80" i="16"/>
  <c r="J80" i="16"/>
  <c r="E64" i="16"/>
  <c r="I64" i="16"/>
  <c r="F64" i="16"/>
  <c r="J64" i="16"/>
  <c r="G64" i="16"/>
  <c r="H64" i="16"/>
  <c r="E76" i="16"/>
  <c r="I76" i="16"/>
  <c r="F76" i="16"/>
  <c r="J76" i="16"/>
  <c r="H76" i="16"/>
  <c r="G76" i="16"/>
  <c r="E44" i="16"/>
  <c r="E81" i="16"/>
  <c r="I81" i="16"/>
  <c r="F81" i="16"/>
  <c r="J81" i="16"/>
  <c r="G81" i="16"/>
  <c r="H81" i="16"/>
  <c r="H71" i="16"/>
  <c r="I71" i="16"/>
  <c r="G71" i="16"/>
  <c r="F71" i="16"/>
  <c r="J71" i="16"/>
  <c r="E71" i="16"/>
  <c r="G65" i="16"/>
  <c r="H65" i="16"/>
  <c r="E65" i="16"/>
  <c r="I65" i="16"/>
  <c r="F65" i="16"/>
  <c r="J65" i="16"/>
  <c r="G73" i="16"/>
  <c r="H73" i="16"/>
  <c r="J73" i="16"/>
  <c r="E73" i="16"/>
  <c r="I73" i="16"/>
  <c r="F73" i="16"/>
  <c r="G60" i="16"/>
  <c r="H60" i="16"/>
  <c r="E60" i="16"/>
  <c r="I60" i="16"/>
  <c r="J60" i="16"/>
  <c r="F60" i="16"/>
  <c r="H57" i="16"/>
  <c r="E57" i="16"/>
  <c r="I57" i="16"/>
  <c r="F57" i="16"/>
  <c r="J57" i="16"/>
  <c r="G55" i="16"/>
  <c r="H55" i="16"/>
  <c r="F55" i="16"/>
  <c r="J55" i="16"/>
  <c r="I55" i="16"/>
  <c r="F44" i="16"/>
  <c r="J44" i="16"/>
  <c r="G44" i="16"/>
  <c r="H44" i="16"/>
  <c r="I44" i="16"/>
  <c r="D58" i="16"/>
  <c r="D56" i="16"/>
  <c r="D74" i="16"/>
  <c r="D72" i="16"/>
  <c r="D59" i="16"/>
  <c r="E241" i="16"/>
  <c r="G248" i="16"/>
  <c r="E238" i="16"/>
  <c r="E242" i="16"/>
  <c r="G245" i="16"/>
  <c r="I246" i="16"/>
  <c r="F7" i="16"/>
  <c r="G246" i="16"/>
  <c r="G239" i="16"/>
  <c r="G241" i="16"/>
  <c r="F246" i="16"/>
  <c r="I249" i="16"/>
  <c r="I238" i="16"/>
  <c r="J242" i="16"/>
  <c r="H238" i="16"/>
  <c r="H241" i="16"/>
  <c r="I242" i="16"/>
  <c r="H244" i="16"/>
  <c r="E246" i="16"/>
  <c r="J246" i="16"/>
  <c r="H248" i="16"/>
  <c r="G238" i="16"/>
  <c r="F242" i="16"/>
  <c r="H240" i="16"/>
  <c r="F245" i="16"/>
  <c r="J245" i="16"/>
  <c r="E249" i="16"/>
  <c r="F238" i="16"/>
  <c r="G240" i="16"/>
  <c r="F241" i="16"/>
  <c r="J241" i="16"/>
  <c r="G242" i="16"/>
  <c r="G243" i="16"/>
  <c r="E245" i="16"/>
  <c r="I245" i="16"/>
  <c r="G247" i="16"/>
  <c r="F239" i="16"/>
  <c r="J239" i="16"/>
  <c r="F243" i="16"/>
  <c r="G244" i="16"/>
  <c r="H249" i="16"/>
  <c r="E239" i="16"/>
  <c r="I239" i="16"/>
  <c r="F240" i="16"/>
  <c r="J240" i="16"/>
  <c r="E243" i="16"/>
  <c r="I243" i="16"/>
  <c r="F244" i="16"/>
  <c r="J244" i="16"/>
  <c r="E247" i="16"/>
  <c r="I247" i="16"/>
  <c r="F248" i="16"/>
  <c r="J248" i="16"/>
  <c r="G249" i="16"/>
  <c r="E261" i="16"/>
  <c r="F8" i="16"/>
  <c r="J243" i="16"/>
  <c r="F247" i="16"/>
  <c r="J247" i="16"/>
  <c r="E240" i="16"/>
  <c r="E244" i="16"/>
  <c r="E248" i="16"/>
  <c r="F249" i="16"/>
  <c r="Q70" i="15" l="1"/>
  <c r="AE70" i="15" s="1"/>
  <c r="E74" i="16"/>
  <c r="I74" i="16"/>
  <c r="F74" i="16"/>
  <c r="J74" i="16"/>
  <c r="G74" i="16"/>
  <c r="H74" i="16"/>
  <c r="G58" i="16"/>
  <c r="H58" i="16"/>
  <c r="F58" i="16"/>
  <c r="E58" i="16"/>
  <c r="I58" i="16"/>
  <c r="J58" i="16"/>
  <c r="E72" i="16"/>
  <c r="I72" i="16"/>
  <c r="F72" i="16"/>
  <c r="J72" i="16"/>
  <c r="G72" i="16"/>
  <c r="H72" i="16"/>
  <c r="E56" i="16"/>
  <c r="I56" i="16"/>
  <c r="F56" i="16"/>
  <c r="J56" i="16"/>
  <c r="H56" i="16"/>
  <c r="G56" i="16"/>
  <c r="E59" i="16"/>
  <c r="I59" i="16"/>
  <c r="F59" i="16"/>
  <c r="J59" i="16"/>
  <c r="G59" i="16"/>
  <c r="H59" i="16"/>
  <c r="H250" i="16"/>
  <c r="H251" i="16" s="1"/>
  <c r="E250" i="16"/>
  <c r="G250" i="16"/>
  <c r="G251" i="16" s="1"/>
  <c r="I250" i="16"/>
  <c r="I251" i="16" s="1"/>
  <c r="J250" i="16"/>
  <c r="J251" i="16" s="1"/>
  <c r="F250" i="16"/>
  <c r="F251" i="16" s="1"/>
  <c r="H254" i="16" l="1"/>
  <c r="H255" i="16" s="1"/>
  <c r="H256" i="16" s="1"/>
  <c r="J254" i="16"/>
  <c r="J255" i="16" s="1"/>
  <c r="J256" i="16" s="1"/>
  <c r="E254" i="16"/>
  <c r="I254" i="16"/>
  <c r="I255" i="16" s="1"/>
  <c r="I256" i="16" s="1"/>
  <c r="F254" i="16"/>
  <c r="G254" i="16"/>
  <c r="G255" i="16" s="1"/>
  <c r="G256" i="16" s="1"/>
  <c r="Y77" i="15"/>
  <c r="W58" i="18" s="1"/>
  <c r="P77" i="15"/>
  <c r="S77" i="15"/>
  <c r="R58" i="18" s="1"/>
  <c r="V77" i="15"/>
  <c r="U58" i="18" s="1"/>
  <c r="M77" i="15"/>
  <c r="M58" i="18" s="1"/>
  <c r="E251" i="16"/>
  <c r="G252" i="16"/>
  <c r="P58" i="18" l="1"/>
  <c r="P81" i="15"/>
  <c r="P62" i="18" s="1"/>
  <c r="U81" i="15"/>
  <c r="U62" i="18" s="1"/>
  <c r="E255" i="16"/>
  <c r="E256" i="16" s="1"/>
  <c r="K78" i="15" s="1"/>
  <c r="N9" i="17"/>
  <c r="J9" i="17"/>
  <c r="AF44" i="15"/>
  <c r="AF31" i="18" s="1"/>
  <c r="L9" i="17"/>
  <c r="M9" i="17"/>
  <c r="V78" i="15"/>
  <c r="K77" i="15"/>
  <c r="K81" i="15" s="1"/>
  <c r="S78" i="15"/>
  <c r="R59" i="18" s="1"/>
  <c r="Y78" i="15"/>
  <c r="P78" i="15"/>
  <c r="G257" i="16"/>
  <c r="F255" i="16"/>
  <c r="F256" i="16" s="1"/>
  <c r="K9" i="17"/>
  <c r="U82" i="15" l="1"/>
  <c r="U63" i="18" s="1"/>
  <c r="P59" i="18"/>
  <c r="P82" i="15"/>
  <c r="P63" i="18" s="1"/>
  <c r="L10" i="17"/>
  <c r="K62" i="18"/>
  <c r="K58" i="18"/>
  <c r="I10" i="17"/>
  <c r="K59" i="18"/>
  <c r="U59" i="18"/>
  <c r="M10" i="17"/>
  <c r="N10" i="17"/>
  <c r="W59" i="18"/>
  <c r="M78" i="15"/>
  <c r="K82" i="15" s="1"/>
  <c r="I9" i="17"/>
  <c r="K10" i="17"/>
  <c r="AF72" i="15"/>
  <c r="AF55" i="18" s="1"/>
  <c r="K63" i="18" l="1"/>
  <c r="M59" i="18"/>
  <c r="J10" i="17"/>
</calcChain>
</file>

<file path=xl/sharedStrings.xml><?xml version="1.0" encoding="utf-8"?>
<sst xmlns="http://schemas.openxmlformats.org/spreadsheetml/2006/main" count="622" uniqueCount="402">
  <si>
    <t>m²</t>
  </si>
  <si>
    <t>%</t>
  </si>
  <si>
    <t>Date</t>
  </si>
  <si>
    <t>L =</t>
  </si>
  <si>
    <t>m</t>
  </si>
  <si>
    <t>l =</t>
  </si>
  <si>
    <t>h =</t>
  </si>
  <si>
    <t>calcul du volume total</t>
  </si>
  <si>
    <t>V =</t>
  </si>
  <si>
    <t>m3</t>
  </si>
  <si>
    <t>Nombre de personnes occupant les lieux</t>
  </si>
  <si>
    <t>Pers</t>
  </si>
  <si>
    <t>Nb m² par personne</t>
  </si>
  <si>
    <t>m²/pers</t>
  </si>
  <si>
    <t>M²</t>
  </si>
  <si>
    <t>Parquet</t>
  </si>
  <si>
    <t>Porte</t>
  </si>
  <si>
    <t>Surface</t>
  </si>
  <si>
    <t>Panneau mural</t>
  </si>
  <si>
    <t>Ilot / baffle</t>
  </si>
  <si>
    <t>600*600</t>
  </si>
  <si>
    <t>600*1195</t>
  </si>
  <si>
    <t>1195*1195</t>
  </si>
  <si>
    <t>600*1795</t>
  </si>
  <si>
    <t>600*2390</t>
  </si>
  <si>
    <t>TOTAL Surface</t>
  </si>
  <si>
    <t>Fréquences</t>
  </si>
  <si>
    <t>Tr sans traitement</t>
  </si>
  <si>
    <t>Tr avec traitement</t>
  </si>
  <si>
    <t>Graves</t>
  </si>
  <si>
    <t>Médium</t>
  </si>
  <si>
    <t>Aïgues</t>
  </si>
  <si>
    <t>DIMENSIONS</t>
  </si>
  <si>
    <t>L=</t>
  </si>
  <si>
    <t>nb personne</t>
  </si>
  <si>
    <t>l=</t>
  </si>
  <si>
    <t>h=</t>
  </si>
  <si>
    <t xml:space="preserve">V = </t>
  </si>
  <si>
    <t>Ssol =</t>
  </si>
  <si>
    <t>Smur =</t>
  </si>
  <si>
    <t>PANNEAUX HOYEZ</t>
  </si>
  <si>
    <t xml:space="preserve">fréquences </t>
  </si>
  <si>
    <t>Graphiq</t>
  </si>
  <si>
    <t xml:space="preserve">αs Pavé (70 mm) sans plénum </t>
  </si>
  <si>
    <t>mesure</t>
  </si>
  <si>
    <t>αs Pavé (45mm) avec plénum</t>
  </si>
  <si>
    <t xml:space="preserve">A panneau laine  1,2x1,2 </t>
  </si>
  <si>
    <t xml:space="preserve">A panneau mur  1,2x1,2 </t>
  </si>
  <si>
    <t>PANNEAU ET SURFACE CHOISI</t>
  </si>
  <si>
    <t xml:space="preserve">Surface </t>
  </si>
  <si>
    <t>AUTRE MATERIAUX</t>
  </si>
  <si>
    <r>
      <rPr>
        <sz val="10"/>
        <color indexed="8"/>
        <rFont val="Times New Roman"/>
        <family val="1"/>
      </rPr>
      <t>α</t>
    </r>
    <r>
      <rPr>
        <sz val="10"/>
        <color indexed="8"/>
        <rFont val="Times New Roman"/>
        <family val="2"/>
      </rPr>
      <t>w</t>
    </r>
  </si>
  <si>
    <t>moquette 3 mm</t>
  </si>
  <si>
    <t>Carrelage</t>
  </si>
  <si>
    <t>lino by Unifloor</t>
  </si>
  <si>
    <t>BA13 doublage / cloison</t>
  </si>
  <si>
    <t>Vitrage</t>
  </si>
  <si>
    <t>Béton /mur maçonné</t>
  </si>
  <si>
    <t>Cloion en tôle</t>
  </si>
  <si>
    <t>Mélaminé - cloison alvéolaire</t>
  </si>
  <si>
    <t>Dalle plafond Sahara (Armstrong)</t>
  </si>
  <si>
    <t xml:space="preserve"> A Siège plastic</t>
  </si>
  <si>
    <t>AIRE TOTALE  ET Tr</t>
  </si>
  <si>
    <t xml:space="preserve">Matériaux \fréquences </t>
  </si>
  <si>
    <t>A moquette 3 mm</t>
  </si>
  <si>
    <t>A Carrelage</t>
  </si>
  <si>
    <t>A lino by Unifloor</t>
  </si>
  <si>
    <t>A Parquet</t>
  </si>
  <si>
    <t>A BA13</t>
  </si>
  <si>
    <t>A vitrage</t>
  </si>
  <si>
    <t>A béton / mur maçonné</t>
  </si>
  <si>
    <t>A Cloion en tôle</t>
  </si>
  <si>
    <t>A Mélaminé - cloison alvéolaire</t>
  </si>
  <si>
    <t>A porte</t>
  </si>
  <si>
    <t>A dalle Sahara (Armstrong)</t>
  </si>
  <si>
    <t>A total Siège</t>
  </si>
  <si>
    <t xml:space="preserve">A total </t>
  </si>
  <si>
    <t>A Panneaux Hoyez</t>
  </si>
  <si>
    <t>A total avec traitement</t>
  </si>
  <si>
    <t>somme de kit panneaux muraux</t>
  </si>
  <si>
    <t>Arrondi Sup</t>
  </si>
  <si>
    <t>Reste</t>
  </si>
  <si>
    <t>Pour Répartition</t>
  </si>
  <si>
    <t>LOCAL</t>
  </si>
  <si>
    <t>USAGE</t>
  </si>
  <si>
    <t>400*1195</t>
  </si>
  <si>
    <t>1195*1795</t>
  </si>
  <si>
    <t>1195*2390</t>
  </si>
  <si>
    <t xml:space="preserve">Ecran acoustique </t>
  </si>
  <si>
    <t>Totem</t>
  </si>
  <si>
    <t>1100*390</t>
  </si>
  <si>
    <t>2000*390</t>
  </si>
  <si>
    <t xml:space="preserve">A Cube 0,5x0,5 </t>
  </si>
  <si>
    <t>A Cube 0,31x0,31</t>
  </si>
  <si>
    <t>A Totem 1,1x0,39</t>
  </si>
  <si>
    <t>A Totem 2x0,39</t>
  </si>
  <si>
    <t>A Ecran acoustique 1,195x1,795</t>
  </si>
  <si>
    <t>A Ecran acoustique 600x1,795</t>
  </si>
  <si>
    <t>Cube</t>
  </si>
  <si>
    <t>310*310</t>
  </si>
  <si>
    <t>500*500</t>
  </si>
  <si>
    <t>495*1500</t>
  </si>
  <si>
    <t>495*1700</t>
  </si>
  <si>
    <t>300*1195</t>
  </si>
  <si>
    <t>300*1795</t>
  </si>
  <si>
    <t>300*2390</t>
  </si>
  <si>
    <t>1700*800</t>
  </si>
  <si>
    <t>1500*800</t>
  </si>
  <si>
    <t>1500*1000</t>
  </si>
  <si>
    <t>1500*1200</t>
  </si>
  <si>
    <t>1700*1000</t>
  </si>
  <si>
    <t>1700*1200</t>
  </si>
  <si>
    <t>2000*1000</t>
  </si>
  <si>
    <t>2000*1200</t>
  </si>
  <si>
    <t>Dalle Pavé plafond</t>
  </si>
  <si>
    <t>A Dalle 600x600 avec plénum</t>
  </si>
  <si>
    <t>A Pavé 600x600 avec plénum</t>
  </si>
  <si>
    <t>A Clois. acoustique 1700x1200</t>
  </si>
  <si>
    <t>A Clois. acoustique vsa 1500x1200</t>
  </si>
  <si>
    <t>Cloionnettes pleines</t>
  </si>
  <si>
    <t>Cloionnettes VSA</t>
  </si>
  <si>
    <t>600*1200</t>
  </si>
  <si>
    <t>diam 600</t>
  </si>
  <si>
    <t>diam 800</t>
  </si>
  <si>
    <t>diam 1200</t>
  </si>
  <si>
    <t>TOTEM LUGN</t>
  </si>
  <si>
    <t>780*780</t>
  </si>
  <si>
    <t>1160*1600</t>
  </si>
  <si>
    <t>580*1160</t>
  </si>
  <si>
    <t>800*1600</t>
  </si>
  <si>
    <t>900*1160</t>
  </si>
  <si>
    <t>1160*1160</t>
  </si>
  <si>
    <t>A tableau Quieto 1,16 x 1,16</t>
  </si>
  <si>
    <t>A tableau Quieto 1,16 x 1,16 mur</t>
  </si>
  <si>
    <t>A Rond Lugn 1200</t>
  </si>
  <si>
    <t>Ilot / baffle QUIETO</t>
  </si>
  <si>
    <t>Panneau mural QUIETO</t>
  </si>
  <si>
    <t>Panneau Rond LUGN</t>
  </si>
  <si>
    <t>Panneau Triangle LUGN mural</t>
  </si>
  <si>
    <t>Panneau Triangle LUGN suspendu</t>
  </si>
  <si>
    <t>D</t>
  </si>
  <si>
    <t>P</t>
  </si>
  <si>
    <t xml:space="preserve">Smart Panel 1300 x 1000 </t>
  </si>
  <si>
    <t>Smart Panel 1300 x 1400</t>
  </si>
  <si>
    <t>Smart Panel 1300 x 1600</t>
  </si>
  <si>
    <t>Smart Panel 1300 x 1800</t>
  </si>
  <si>
    <t>Smart Panel 1300 x 2000</t>
  </si>
  <si>
    <t>Smart Panel</t>
  </si>
  <si>
    <t>1000*1300</t>
  </si>
  <si>
    <t>1400*1300</t>
  </si>
  <si>
    <t>1600*1300</t>
  </si>
  <si>
    <t>1800*1300</t>
  </si>
  <si>
    <t>2000*1300</t>
  </si>
  <si>
    <t>495*600</t>
  </si>
  <si>
    <t>Côté 310</t>
  </si>
  <si>
    <t>Côté 500</t>
  </si>
  <si>
    <t>Côté 1195</t>
  </si>
  <si>
    <t>760*760</t>
  </si>
  <si>
    <t>560*1140</t>
  </si>
  <si>
    <t>880*1140</t>
  </si>
  <si>
    <t>1140*1140</t>
  </si>
  <si>
    <t>500*1600</t>
  </si>
  <si>
    <t>375*1600</t>
  </si>
  <si>
    <t>1120*485</t>
  </si>
  <si>
    <t>Kit QUIETOstick</t>
  </si>
  <si>
    <t>Dos d'armoire QUIETO</t>
  </si>
  <si>
    <t>DUO 360</t>
  </si>
  <si>
    <t>Côté 600</t>
  </si>
  <si>
    <t>A Quietostick 1120 x 485</t>
  </si>
  <si>
    <t>Duo 360</t>
  </si>
  <si>
    <t>375*1600*2</t>
  </si>
  <si>
    <t>500*1600*2</t>
  </si>
  <si>
    <t>A duo 360 375 x 1600 x 2</t>
  </si>
  <si>
    <t>A duo 360 500 x 1600 x 2</t>
  </si>
  <si>
    <t>470*700</t>
  </si>
  <si>
    <t>470*800</t>
  </si>
  <si>
    <t>470*1100</t>
  </si>
  <si>
    <t>470*1300</t>
  </si>
  <si>
    <t>470*1500</t>
  </si>
  <si>
    <t>470*1700</t>
  </si>
  <si>
    <t>580*700</t>
  </si>
  <si>
    <t>580*800</t>
  </si>
  <si>
    <t>580*1100</t>
  </si>
  <si>
    <t>580*1300</t>
  </si>
  <si>
    <t>580*1500</t>
  </si>
  <si>
    <t>580*1700</t>
  </si>
  <si>
    <t>LUGN CUBE</t>
  </si>
  <si>
    <t>LUGN TOTEM</t>
  </si>
  <si>
    <t>LUGN DUO 360</t>
  </si>
  <si>
    <t>LUGN TRIANGLE</t>
  </si>
  <si>
    <t>KINÔ SEPARATEUR BUR.</t>
  </si>
  <si>
    <t>KINÔ RIDEAU</t>
  </si>
  <si>
    <t>KINÔ ECRAN</t>
  </si>
  <si>
    <t>1 &amp; 2</t>
  </si>
  <si>
    <t>395* 700</t>
  </si>
  <si>
    <t>395*1166</t>
  </si>
  <si>
    <t>395*1366</t>
  </si>
  <si>
    <t>395*1566</t>
  </si>
  <si>
    <t xml:space="preserve">495*700 </t>
  </si>
  <si>
    <t>495*1166</t>
  </si>
  <si>
    <t>495*1366</t>
  </si>
  <si>
    <t>495*1566</t>
  </si>
  <si>
    <t>3*375*1180</t>
  </si>
  <si>
    <t>1180*1800</t>
  </si>
  <si>
    <t>800*1500</t>
  </si>
  <si>
    <t>Sépar. Bureau Aluscreen</t>
  </si>
  <si>
    <t>A19-26079516-bis-10 idem -9</t>
  </si>
  <si>
    <t xml:space="preserve">CUBE </t>
  </si>
  <si>
    <t>Panneau horizontale kino 24 mm à 330 mm du sol (1300*800*24)</t>
  </si>
  <si>
    <t>AAE</t>
  </si>
  <si>
    <t>rideau  pv chinois 9 mm converti pour 12 mm</t>
  </si>
  <si>
    <t>Reverberation time (Rt) estimated calculation</t>
  </si>
  <si>
    <t>Project N°</t>
  </si>
  <si>
    <t>Project name</t>
  </si>
  <si>
    <t xml:space="preserve">Quote N° </t>
  </si>
  <si>
    <t>Room specifications</t>
  </si>
  <si>
    <t>Room</t>
  </si>
  <si>
    <t>Usual use</t>
  </si>
  <si>
    <t>Room length</t>
  </si>
  <si>
    <t>Room width</t>
  </si>
  <si>
    <t>Height under ceiling</t>
  </si>
  <si>
    <t>Surfaces specifications</t>
  </si>
  <si>
    <t>Wall</t>
  </si>
  <si>
    <t>Gypsum board</t>
  </si>
  <si>
    <t>Glazing / Glass partition</t>
  </si>
  <si>
    <t>Solid wall</t>
  </si>
  <si>
    <t>Metal partition</t>
  </si>
  <si>
    <t>Solid partition in melamine</t>
  </si>
  <si>
    <t>Floor</t>
  </si>
  <si>
    <t>Carpet</t>
  </si>
  <si>
    <t>Tiles</t>
  </si>
  <si>
    <t>Plastic floor</t>
  </si>
  <si>
    <t>Wood floor</t>
  </si>
  <si>
    <t>Door</t>
  </si>
  <si>
    <t>door</t>
  </si>
  <si>
    <t>Ceiling</t>
  </si>
  <si>
    <r>
      <t xml:space="preserve">Ceiling tile </t>
    </r>
    <r>
      <rPr>
        <sz val="11"/>
        <color theme="1"/>
        <rFont val="Calibri"/>
        <family val="2"/>
      </rPr>
      <t>α</t>
    </r>
    <r>
      <rPr>
        <sz val="10"/>
        <rFont val="Arial"/>
        <family val="2"/>
      </rPr>
      <t>w=0,6</t>
    </r>
  </si>
  <si>
    <t>Concrete</t>
  </si>
  <si>
    <t>Metal</t>
  </si>
  <si>
    <t>Wood</t>
  </si>
  <si>
    <t>Glazes</t>
  </si>
  <si>
    <t xml:space="preserve">Total surface area </t>
  </si>
  <si>
    <t>Checking data's accurancy</t>
  </si>
  <si>
    <t>Calculated floor surface</t>
  </si>
  <si>
    <t>Indicated floor surface</t>
  </si>
  <si>
    <t>Calculated wall surface</t>
  </si>
  <si>
    <t>Indicated wall surface</t>
  </si>
  <si>
    <t>Calculated ceiling surface</t>
  </si>
  <si>
    <t>Indicated ceiling surface</t>
  </si>
  <si>
    <t>First acoustic calculation of the room</t>
  </si>
  <si>
    <t xml:space="preserve"> INITIAL SITUATION</t>
  </si>
  <si>
    <t>Average Rt (500, 1k, 2k) without treatment</t>
  </si>
  <si>
    <t xml:space="preserve">Rt Target  </t>
  </si>
  <si>
    <t>to be reached to get a good level of acoustic</t>
  </si>
  <si>
    <t xml:space="preserve">Rt target  </t>
  </si>
  <si>
    <t>to be reached to get an optimal level of acoustic</t>
  </si>
  <si>
    <t xml:space="preserve">Acoustic solutions choices 
(1) with space between the support and the panel (2) panel "stuck" to the support (w/o any space in between) </t>
  </si>
  <si>
    <t>Meeting/Training Room</t>
  </si>
  <si>
    <t>Individual Space</t>
  </si>
  <si>
    <t>Several Workstation</t>
  </si>
  <si>
    <t>Open Space</t>
  </si>
  <si>
    <t>Canteens/Catering Hall</t>
  </si>
  <si>
    <t>Meeting / Training</t>
  </si>
  <si>
    <t>work independently</t>
  </si>
  <si>
    <t>Work as a team</t>
  </si>
  <si>
    <t>Phoning</t>
  </si>
  <si>
    <t>Catering</t>
  </si>
  <si>
    <t>PLAIN</t>
  </si>
  <si>
    <t>1/2 glazed</t>
  </si>
  <si>
    <t>ALUSCREEN DESK DIVIDER</t>
  </si>
  <si>
    <t xml:space="preserve">LUGN RECTANGULAR </t>
  </si>
  <si>
    <t>Fixed</t>
  </si>
  <si>
    <t>LUGN ROUND</t>
  </si>
  <si>
    <t>QUIETO RECTANGULAR BOARD</t>
  </si>
  <si>
    <t>KINÔ DESK DIVIDER</t>
  </si>
  <si>
    <t>KINÔ SCREEN</t>
  </si>
  <si>
    <t>KINÔ ZONE DIVIDER</t>
  </si>
  <si>
    <t xml:space="preserve">TOTAL Acoustical products  </t>
  </si>
  <si>
    <t>Acoustic absorbing surface  / Floor surf.</t>
  </si>
  <si>
    <t>ACOUSTICS CORRECTED SITUATION</t>
  </si>
  <si>
    <t>Average RT (500, 1k, 2k) with treatment</t>
  </si>
  <si>
    <t>Final acoustic calculation of the room</t>
  </si>
  <si>
    <t>Rt without treatment</t>
  </si>
  <si>
    <t>Rt with treatment</t>
  </si>
  <si>
    <t>Wall M²</t>
  </si>
  <si>
    <t>Floor M²</t>
  </si>
  <si>
    <t>Ceilling M²</t>
  </si>
  <si>
    <t>Door M²</t>
  </si>
  <si>
    <t>Total surface area</t>
  </si>
  <si>
    <t xml:space="preserve">UNIVERSES ALUSCREEN </t>
  </si>
  <si>
    <t>UNIVERSES LUGN</t>
  </si>
  <si>
    <t>UNIVERSES QUIETO</t>
  </si>
  <si>
    <t>UNIVERSES KINÔ</t>
  </si>
  <si>
    <t>DESK DIVIDER</t>
  </si>
  <si>
    <t>ACOUSTIC SCREEN</t>
  </si>
  <si>
    <t>RECTANGULAR PANEL</t>
  </si>
  <si>
    <t xml:space="preserve">TRIANGLE PANEL </t>
  </si>
  <si>
    <t>ROUND PANEL</t>
  </si>
  <si>
    <t>BOARD PANEL</t>
  </si>
  <si>
    <t>CELLING TILE 5th</t>
  </si>
  <si>
    <t>CELLING TILE 2th</t>
  </si>
  <si>
    <t>ZONE DIVIDER</t>
  </si>
  <si>
    <t>SCREEN</t>
  </si>
  <si>
    <t>Acoustic solutions choices</t>
  </si>
  <si>
    <t>Average Rt (500, 1k, 2k) with treatment</t>
  </si>
  <si>
    <t xml:space="preserve">QUIETO PETALS </t>
  </si>
  <si>
    <t>Kit Pétale Quieto</t>
  </si>
  <si>
    <t>1 m2</t>
  </si>
  <si>
    <t>UNO</t>
  </si>
  <si>
    <t>1200*1600</t>
  </si>
  <si>
    <t>LUGN UNO</t>
  </si>
  <si>
    <t>Liste des commerciaux</t>
  </si>
  <si>
    <t>Nom</t>
  </si>
  <si>
    <t>Tel</t>
  </si>
  <si>
    <t>Mail</t>
  </si>
  <si>
    <t>Arnaud DE COQUEREAUMONT</t>
  </si>
  <si>
    <t xml:space="preserve">Tel : 06.74.16.63.96 </t>
  </si>
  <si>
    <t>adecoquereaumont@hoyez.com</t>
  </si>
  <si>
    <t>Tel : 06 26 33 35 31</t>
  </si>
  <si>
    <t>Christophe SAILLY</t>
  </si>
  <si>
    <t>Tel : 06 77 22 50 41</t>
  </si>
  <si>
    <t>csailly@myo.fr</t>
  </si>
  <si>
    <t>Emmanuel DERVITE</t>
  </si>
  <si>
    <t>Tel : 06 59 34 23 47</t>
  </si>
  <si>
    <t>edervite@hoyez.com</t>
  </si>
  <si>
    <t xml:space="preserve">Estelle CATHERINE </t>
  </si>
  <si>
    <t xml:space="preserve">Tel : 06 37 01 69 41 </t>
  </si>
  <si>
    <t xml:space="preserve">ecatherine@myo.fr </t>
  </si>
  <si>
    <t>Frédérick GREGOIRE</t>
  </si>
  <si>
    <t>Tel : +32 (0)470 481 338</t>
  </si>
  <si>
    <t>fgregoire@hoyez.com</t>
  </si>
  <si>
    <t>Giani LARUE</t>
  </si>
  <si>
    <t>Tel : 06 25 94 24 94</t>
  </si>
  <si>
    <t>glarue@hoyez.com</t>
  </si>
  <si>
    <t>Hugues FUZEWSKI</t>
  </si>
  <si>
    <t>Tel : 06 11 96 49 44</t>
  </si>
  <si>
    <t>hfuzewski@hoyez.com</t>
  </si>
  <si>
    <t>Laurent THERY</t>
  </si>
  <si>
    <t>Tel : 06 09 13 14 85</t>
  </si>
  <si>
    <t>lthery@hoyez.com</t>
  </si>
  <si>
    <t>Laurent VANDENBROUCKE</t>
  </si>
  <si>
    <t xml:space="preserve">Tel : +33 6 26 20 50 54 </t>
  </si>
  <si>
    <t>lvandenbroucke@hoyez.com</t>
  </si>
  <si>
    <t>Sandrine SONNIER</t>
  </si>
  <si>
    <t>Tel : 06 30 90 57 29</t>
  </si>
  <si>
    <t>ssonnier@myo.fr</t>
  </si>
  <si>
    <t>Tel : 06 18 46 48 56</t>
  </si>
  <si>
    <t>diam 700</t>
  </si>
  <si>
    <t>diam 960</t>
  </si>
  <si>
    <t>diam 1140</t>
  </si>
  <si>
    <t>ALUSCREEN ACOUSTIC</t>
  </si>
  <si>
    <t>QUIETO ACOUSTIC PANEL</t>
  </si>
  <si>
    <t>KINÔ TOTEM</t>
  </si>
  <si>
    <t>QUIETO PANEL</t>
  </si>
  <si>
    <t>TOTEM</t>
  </si>
  <si>
    <t xml:space="preserve">Tel : +41 (0)78 214 16 14 </t>
  </si>
  <si>
    <t>vippolito@hoyez.com</t>
  </si>
  <si>
    <t>Nvx Totem</t>
  </si>
  <si>
    <t>A Totem Kino 1,56 x 0,4</t>
  </si>
  <si>
    <t>1,23 = conso en nbre de plaque</t>
  </si>
  <si>
    <t>Panneau QUIETO</t>
  </si>
  <si>
    <t>1560*400</t>
  </si>
  <si>
    <t>consomation de plaque 1,23 unité de 2440 x 1200</t>
  </si>
  <si>
    <t xml:space="preserve">  860*400</t>
  </si>
  <si>
    <t>consomation de plaque 0,77 unité de 2440 x 1200</t>
  </si>
  <si>
    <t>Name of the contact</t>
  </si>
  <si>
    <t xml:space="preserve"> e-mail</t>
  </si>
  <si>
    <t>Phone Number</t>
  </si>
  <si>
    <t>760*1140</t>
  </si>
  <si>
    <t>KINÔ SUSPENSION</t>
  </si>
  <si>
    <t>Tous modéles</t>
  </si>
  <si>
    <t xml:space="preserve">Dimension 20 lames de 10 cm x 40 cm </t>
  </si>
  <si>
    <t>1000*1600</t>
  </si>
  <si>
    <t>1000*1800</t>
  </si>
  <si>
    <t>1200*1800</t>
  </si>
  <si>
    <t>800*1610</t>
  </si>
  <si>
    <t>SUSPENSION</t>
  </si>
  <si>
    <t>860*400</t>
  </si>
  <si>
    <t>Cylinder / Tulipe / Triangle</t>
  </si>
  <si>
    <t>Carine MONCORGÉ</t>
  </si>
  <si>
    <t>Tel : 07 57 76 85 54</t>
  </si>
  <si>
    <t>cmoncorge@hoyez.com</t>
  </si>
  <si>
    <t xml:space="preserve">Eric PELTIER </t>
  </si>
  <si>
    <t xml:space="preserve">Tel : +33 6 31 20 02 17 </t>
  </si>
  <si>
    <t>epeltier@hoyez.com</t>
  </si>
  <si>
    <t>Isabelle MUSSY</t>
  </si>
  <si>
    <t>imussy@myo.fr</t>
  </si>
  <si>
    <t>Thibaud BOURGEAT</t>
  </si>
  <si>
    <t>tbourgeat@hoyez.com</t>
  </si>
  <si>
    <t>Virginie IPPOLITO</t>
  </si>
  <si>
    <t>UNO 359</t>
  </si>
  <si>
    <t>Pavé au sol</t>
  </si>
  <si>
    <t xml:space="preserve">A Pavé 600x600 au sol </t>
  </si>
  <si>
    <t xml:space="preserve">1 m2 Mur </t>
  </si>
  <si>
    <t>780*1570</t>
  </si>
  <si>
    <t>1140*1570</t>
  </si>
  <si>
    <t>Panneau QUIETO mural</t>
  </si>
  <si>
    <t>KIT QUIETO</t>
  </si>
  <si>
    <t>QUIETO                   2th         5th   CELLING TILE</t>
  </si>
  <si>
    <t xml:space="preserve">QUIETOSTICK </t>
  </si>
  <si>
    <t>QUIETOSTICK</t>
  </si>
  <si>
    <t>PETALS-GALAXIES-MOSAICS-FANS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</si>
</sst>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#,##0.0"/>
    <numFmt numFmtId="167" formatCode="0.000000"/>
  </numFmts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imes New Roman"/>
      <family val="2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MV Boli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9"/>
      <color theme="1"/>
      <name val="Arial"/>
      <family val="2"/>
    </font>
    <font>
      <b/>
      <sz val="12"/>
      <color theme="1"/>
      <name val="Garamond"/>
      <family val="1"/>
    </font>
    <font>
      <b/>
      <sz val="10"/>
      <color theme="1"/>
      <name val="Times New Roman"/>
      <family val="1"/>
    </font>
    <font>
      <sz val="11"/>
      <color theme="1"/>
      <name val="Garamond"/>
      <family val="1"/>
    </font>
    <font>
      <sz val="12"/>
      <color theme="1"/>
      <name val="Garamond"/>
      <family val="1"/>
    </font>
    <font>
      <sz val="10"/>
      <color indexed="8"/>
      <name val="Times New Roman"/>
      <family val="1"/>
    </font>
    <font>
      <sz val="10"/>
      <color indexed="8"/>
      <name val="Times New Roman"/>
      <family val="2"/>
    </font>
    <font>
      <sz val="12"/>
      <color theme="1"/>
      <name val="Times New Roman"/>
      <family val="1"/>
    </font>
    <font>
      <sz val="12"/>
      <color theme="1"/>
      <name val="Times New Roman"/>
      <family val="2"/>
    </font>
    <font>
      <sz val="10"/>
      <color theme="0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Times New Roman"/>
      <family val="2"/>
    </font>
    <font>
      <sz val="10"/>
      <name val="Calibri"/>
      <family val="2"/>
      <scheme val="minor"/>
    </font>
    <font>
      <sz val="10"/>
      <name val="Times New Roman"/>
      <family val="2"/>
    </font>
    <font>
      <b/>
      <sz val="12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Symbol"/>
      <family val="1"/>
      <charset val="2"/>
    </font>
    <font>
      <sz val="11"/>
      <color theme="1"/>
      <name val="Segoe UI Symbol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i/>
      <sz val="8"/>
      <color theme="1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u/>
      <sz val="11"/>
      <name val="Arial"/>
      <family val="2"/>
    </font>
    <font>
      <u/>
      <sz val="10"/>
      <color theme="10"/>
      <name val="Calibri"/>
      <family val="2"/>
    </font>
    <font>
      <sz val="7"/>
      <color theme="1"/>
      <name val="Calibri"/>
      <family val="2"/>
      <scheme val="minor"/>
    </font>
    <font>
      <sz val="11"/>
      <color rgb="FFFF0000"/>
      <name val="Garamond"/>
      <family val="1"/>
    </font>
    <font>
      <sz val="12"/>
      <color rgb="FFFF0000"/>
      <name val="Garamond"/>
      <family val="1"/>
    </font>
    <font>
      <b/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name val="AktivGrotesk-Bold"/>
      <family val="2"/>
    </font>
    <font>
      <sz val="11"/>
      <name val="AktivGrotesk-Bold"/>
      <family val="2"/>
    </font>
    <font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BC0AD"/>
        <bgColor indexed="64"/>
      </patternFill>
    </fill>
    <fill>
      <patternFill patternType="solid">
        <fgColor rgb="FF4C6F6A"/>
        <bgColor indexed="64"/>
      </patternFill>
    </fill>
    <fill>
      <patternFill patternType="solid">
        <fgColor rgb="FF994F43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 diagonalDown="1">
      <left/>
      <right/>
      <top/>
      <bottom/>
      <diagonal style="thin">
        <color auto="1"/>
      </diagonal>
    </border>
    <border diagonalUp="1">
      <left/>
      <right/>
      <top/>
      <bottom/>
      <diagonal style="thin">
        <color auto="1"/>
      </diagonal>
    </border>
  </borders>
  <cellStyleXfs count="8">
    <xf numFmtId="0" fontId="0" fillId="0" borderId="0"/>
    <xf numFmtId="0" fontId="15" fillId="0" borderId="0"/>
    <xf numFmtId="0" fontId="10" fillId="0" borderId="0"/>
    <xf numFmtId="0" fontId="9" fillId="0" borderId="0"/>
    <xf numFmtId="0" fontId="8" fillId="0" borderId="0"/>
    <xf numFmtId="0" fontId="11" fillId="0" borderId="0"/>
    <xf numFmtId="0" fontId="62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</cellStyleXfs>
  <cellXfs count="507">
    <xf numFmtId="0" fontId="0" fillId="0" borderId="0" xfId="0"/>
    <xf numFmtId="0" fontId="16" fillId="0" borderId="0" xfId="1" applyFont="1"/>
    <xf numFmtId="9" fontId="16" fillId="0" borderId="0" xfId="1" applyNumberFormat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2" fontId="16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left" vertical="center"/>
    </xf>
    <xf numFmtId="0" fontId="10" fillId="0" borderId="4" xfId="1" applyFont="1" applyFill="1" applyBorder="1" applyAlignment="1">
      <alignment horizontal="right" vertical="center"/>
    </xf>
    <xf numFmtId="0" fontId="10" fillId="0" borderId="8" xfId="1" applyFont="1" applyFill="1" applyBorder="1" applyAlignment="1">
      <alignment horizontal="right" vertical="center"/>
    </xf>
    <xf numFmtId="0" fontId="21" fillId="0" borderId="0" xfId="1" applyFont="1" applyBorder="1" applyAlignment="1">
      <alignment vertical="center"/>
    </xf>
    <xf numFmtId="0" fontId="16" fillId="0" borderId="3" xfId="1" applyFont="1" applyBorder="1" applyAlignment="1">
      <alignment vertical="center"/>
    </xf>
    <xf numFmtId="0" fontId="22" fillId="0" borderId="0" xfId="1" applyFont="1" applyBorder="1" applyAlignment="1">
      <alignment horizontal="right" vertical="center"/>
    </xf>
    <xf numFmtId="0" fontId="16" fillId="0" borderId="0" xfId="1" applyFont="1" applyAlignment="1">
      <alignment horizontal="left" vertical="center"/>
    </xf>
    <xf numFmtId="0" fontId="26" fillId="0" borderId="0" xfId="1" applyFont="1" applyFill="1" applyBorder="1" applyAlignment="1">
      <alignment vertical="center"/>
    </xf>
    <xf numFmtId="0" fontId="27" fillId="0" borderId="0" xfId="1" applyFont="1" applyFill="1" applyBorder="1" applyAlignment="1">
      <alignment vertical="center"/>
    </xf>
    <xf numFmtId="0" fontId="16" fillId="0" borderId="0" xfId="1" applyFont="1" applyAlignment="1">
      <alignment horizontal="right" vertical="center"/>
    </xf>
    <xf numFmtId="0" fontId="27" fillId="0" borderId="0" xfId="1" applyFont="1" applyFill="1" applyBorder="1" applyAlignment="1">
      <alignment horizontal="right" vertical="center"/>
    </xf>
    <xf numFmtId="0" fontId="15" fillId="0" borderId="0" xfId="1"/>
    <xf numFmtId="0" fontId="28" fillId="0" borderId="0" xfId="1" applyFont="1" applyBorder="1" applyAlignment="1">
      <alignment horizontal="center" vertical="center" wrapText="1"/>
    </xf>
    <xf numFmtId="0" fontId="29" fillId="2" borderId="0" xfId="1" applyFont="1" applyFill="1" applyAlignment="1">
      <alignment horizontal="center" vertical="center"/>
    </xf>
    <xf numFmtId="0" fontId="15" fillId="0" borderId="0" xfId="1" applyAlignment="1">
      <alignment horizontal="right"/>
    </xf>
    <xf numFmtId="0" fontId="15" fillId="0" borderId="0" xfId="1" applyAlignment="1">
      <alignment horizontal="left"/>
    </xf>
    <xf numFmtId="0" fontId="15" fillId="0" borderId="0" xfId="1" applyAlignment="1">
      <alignment horizontal="center" vertical="center"/>
    </xf>
    <xf numFmtId="0" fontId="15" fillId="0" borderId="0" xfId="1" applyFill="1" applyAlignment="1">
      <alignment horizontal="right" vertical="center"/>
    </xf>
    <xf numFmtId="0" fontId="15" fillId="0" borderId="0" xfId="1" applyAlignment="1">
      <alignment horizontal="left" vertical="center"/>
    </xf>
    <xf numFmtId="0" fontId="15" fillId="0" borderId="0" xfId="1" applyBorder="1"/>
    <xf numFmtId="0" fontId="30" fillId="0" borderId="0" xfId="1" applyFont="1" applyFill="1" applyBorder="1" applyAlignment="1">
      <alignment horizontal="center" vertical="top" wrapText="1"/>
    </xf>
    <xf numFmtId="0" fontId="15" fillId="0" borderId="0" xfId="1" applyFill="1"/>
    <xf numFmtId="0" fontId="15" fillId="0" borderId="0" xfId="1" applyAlignment="1">
      <alignment horizontal="right" vertical="center"/>
    </xf>
    <xf numFmtId="0" fontId="29" fillId="0" borderId="0" xfId="1" applyFont="1" applyAlignment="1">
      <alignment horizontal="right" vertical="center"/>
    </xf>
    <xf numFmtId="3" fontId="15" fillId="0" borderId="0" xfId="1" applyNumberFormat="1" applyAlignment="1">
      <alignment horizontal="left"/>
    </xf>
    <xf numFmtId="166" fontId="15" fillId="0" borderId="0" xfId="1" applyNumberFormat="1" applyAlignment="1">
      <alignment horizontal="left"/>
    </xf>
    <xf numFmtId="0" fontId="15" fillId="2" borderId="0" xfId="1" applyFill="1" applyAlignment="1">
      <alignment horizontal="center" vertical="center"/>
    </xf>
    <xf numFmtId="0" fontId="15" fillId="0" borderId="0" xfId="1" applyFill="1" applyBorder="1"/>
    <xf numFmtId="0" fontId="31" fillId="0" borderId="18" xfId="2" applyFont="1" applyBorder="1" applyAlignment="1">
      <alignment horizontal="center" vertical="center" wrapText="1"/>
    </xf>
    <xf numFmtId="0" fontId="31" fillId="0" borderId="18" xfId="2" applyFont="1" applyBorder="1" applyAlignment="1">
      <alignment horizontal="center" wrapText="1"/>
    </xf>
    <xf numFmtId="0" fontId="31" fillId="0" borderId="1" xfId="2" applyFont="1" applyBorder="1" applyAlignment="1">
      <alignment horizontal="center" wrapText="1"/>
    </xf>
    <xf numFmtId="0" fontId="32" fillId="0" borderId="19" xfId="1" applyFont="1" applyBorder="1" applyAlignment="1">
      <alignment horizontal="center" vertical="center"/>
    </xf>
    <xf numFmtId="0" fontId="15" fillId="0" borderId="0" xfId="1" applyFill="1" applyBorder="1" applyAlignment="1">
      <alignment horizontal="center" vertical="center"/>
    </xf>
    <xf numFmtId="0" fontId="15" fillId="0" borderId="0" xfId="1" applyFill="1" applyBorder="1" applyAlignment="1">
      <alignment horizontal="center"/>
    </xf>
    <xf numFmtId="2" fontId="33" fillId="0" borderId="18" xfId="1" applyNumberFormat="1" applyFont="1" applyFill="1" applyBorder="1" applyAlignment="1">
      <alignment horizontal="center" vertical="center" wrapText="1"/>
    </xf>
    <xf numFmtId="2" fontId="34" fillId="0" borderId="18" xfId="1" applyNumberFormat="1" applyFont="1" applyFill="1" applyBorder="1" applyAlignment="1">
      <alignment horizontal="center" vertical="center" wrapText="1"/>
    </xf>
    <xf numFmtId="2" fontId="34" fillId="0" borderId="1" xfId="1" applyNumberFormat="1" applyFont="1" applyFill="1" applyBorder="1" applyAlignment="1">
      <alignment horizontal="center" vertical="center" wrapText="1"/>
    </xf>
    <xf numFmtId="2" fontId="34" fillId="0" borderId="19" xfId="1" applyNumberFormat="1" applyFont="1" applyFill="1" applyBorder="1" applyAlignment="1">
      <alignment horizontal="center" vertical="center" wrapText="1"/>
    </xf>
    <xf numFmtId="0" fontId="15" fillId="0" borderId="0" xfId="1" applyFill="1" applyBorder="1" applyAlignment="1"/>
    <xf numFmtId="1" fontId="34" fillId="0" borderId="0" xfId="1" applyNumberFormat="1" applyFont="1" applyFill="1" applyBorder="1" applyAlignment="1">
      <alignment horizontal="center" vertical="center" wrapText="1"/>
    </xf>
    <xf numFmtId="1" fontId="15" fillId="0" borderId="0" xfId="1" applyNumberFormat="1" applyFill="1" applyBorder="1"/>
    <xf numFmtId="0" fontId="15" fillId="0" borderId="0" xfId="1" applyAlignment="1">
      <alignment horizontal="center"/>
    </xf>
    <xf numFmtId="2" fontId="10" fillId="0" borderId="0" xfId="2" applyNumberFormat="1" applyFill="1" applyBorder="1" applyAlignment="1">
      <alignment horizontal="center"/>
    </xf>
    <xf numFmtId="0" fontId="31" fillId="0" borderId="18" xfId="1" applyFont="1" applyBorder="1" applyAlignment="1">
      <alignment horizontal="center" vertical="center" wrapText="1"/>
    </xf>
    <xf numFmtId="1" fontId="31" fillId="0" borderId="18" xfId="1" applyNumberFormat="1" applyFont="1" applyBorder="1" applyAlignment="1">
      <alignment horizontal="center" wrapText="1"/>
    </xf>
    <xf numFmtId="1" fontId="31" fillId="0" borderId="18" xfId="1" applyNumberFormat="1" applyFont="1" applyFill="1" applyBorder="1" applyAlignment="1">
      <alignment horizontal="center" wrapText="1"/>
    </xf>
    <xf numFmtId="0" fontId="29" fillId="0" borderId="18" xfId="1" applyFont="1" applyBorder="1" applyAlignment="1">
      <alignment horizontal="center" vertical="center"/>
    </xf>
    <xf numFmtId="0" fontId="29" fillId="0" borderId="0" xfId="1" applyFont="1" applyBorder="1" applyAlignment="1">
      <alignment horizontal="center" vertical="center"/>
    </xf>
    <xf numFmtId="0" fontId="34" fillId="0" borderId="18" xfId="1" applyFont="1" applyBorder="1" applyAlignment="1">
      <alignment horizontal="justify" wrapText="1"/>
    </xf>
    <xf numFmtId="0" fontId="34" fillId="0" borderId="18" xfId="1" applyFont="1" applyBorder="1" applyAlignment="1">
      <alignment horizontal="center" vertical="center" wrapText="1"/>
    </xf>
    <xf numFmtId="0" fontId="34" fillId="0" borderId="18" xfId="1" applyFont="1" applyFill="1" applyBorder="1" applyAlignment="1">
      <alignment horizontal="center" vertical="center" wrapText="1"/>
    </xf>
    <xf numFmtId="0" fontId="34" fillId="0" borderId="0" xfId="1" applyFont="1" applyFill="1" applyBorder="1" applyAlignment="1">
      <alignment horizontal="center" vertical="center" wrapText="1"/>
    </xf>
    <xf numFmtId="2" fontId="34" fillId="0" borderId="18" xfId="1" applyNumberFormat="1" applyFont="1" applyBorder="1" applyAlignment="1">
      <alignment horizontal="center" vertical="center" wrapText="1"/>
    </xf>
    <xf numFmtId="0" fontId="34" fillId="0" borderId="18" xfId="1" applyFont="1" applyFill="1" applyBorder="1" applyAlignment="1">
      <alignment horizontal="justify" wrapText="1"/>
    </xf>
    <xf numFmtId="0" fontId="34" fillId="0" borderId="18" xfId="1" applyFont="1" applyBorder="1" applyAlignment="1">
      <alignment horizontal="justify" vertical="center" wrapText="1"/>
    </xf>
    <xf numFmtId="0" fontId="34" fillId="0" borderId="18" xfId="1" applyFont="1" applyFill="1" applyBorder="1" applyAlignment="1">
      <alignment horizontal="justify" vertical="center" wrapText="1"/>
    </xf>
    <xf numFmtId="0" fontId="34" fillId="5" borderId="18" xfId="1" applyFont="1" applyFill="1" applyBorder="1" applyAlignment="1">
      <alignment horizontal="center" vertical="center" wrapText="1"/>
    </xf>
    <xf numFmtId="0" fontId="34" fillId="5" borderId="0" xfId="1" applyFont="1" applyFill="1" applyBorder="1" applyAlignment="1">
      <alignment horizontal="center" vertical="center" wrapText="1"/>
    </xf>
    <xf numFmtId="0" fontId="15" fillId="5" borderId="0" xfId="1" applyFill="1" applyBorder="1"/>
    <xf numFmtId="9" fontId="15" fillId="5" borderId="0" xfId="1" applyNumberFormat="1" applyFill="1"/>
    <xf numFmtId="2" fontId="15" fillId="0" borderId="0" xfId="1" applyNumberFormat="1" applyAlignment="1">
      <alignment horizontal="center" vertical="center"/>
    </xf>
    <xf numFmtId="0" fontId="31" fillId="0" borderId="18" xfId="1" applyFont="1" applyBorder="1" applyAlignment="1">
      <alignment horizontal="justify" wrapText="1"/>
    </xf>
    <xf numFmtId="0" fontId="31" fillId="0" borderId="18" xfId="1" applyFont="1" applyBorder="1" applyAlignment="1">
      <alignment horizontal="center" wrapText="1"/>
    </xf>
    <xf numFmtId="0" fontId="31" fillId="0" borderId="18" xfId="1" applyFont="1" applyFill="1" applyBorder="1" applyAlignment="1">
      <alignment horizontal="center" wrapText="1"/>
    </xf>
    <xf numFmtId="0" fontId="34" fillId="0" borderId="18" xfId="1" applyFont="1" applyFill="1" applyBorder="1" applyAlignment="1">
      <alignment horizontal="left" vertical="center" wrapText="1"/>
    </xf>
    <xf numFmtId="2" fontId="34" fillId="0" borderId="0" xfId="1" applyNumberFormat="1" applyFont="1" applyBorder="1" applyAlignment="1">
      <alignment horizontal="center" vertical="center" wrapText="1"/>
    </xf>
    <xf numFmtId="0" fontId="34" fillId="0" borderId="18" xfId="1" applyFont="1" applyBorder="1" applyAlignment="1">
      <alignment horizontal="left" wrapText="1"/>
    </xf>
    <xf numFmtId="0" fontId="34" fillId="0" borderId="20" xfId="1" applyFont="1" applyFill="1" applyBorder="1" applyAlignment="1">
      <alignment horizontal="left" vertical="center" wrapText="1"/>
    </xf>
    <xf numFmtId="2" fontId="34" fillId="0" borderId="20" xfId="1" applyNumberFormat="1" applyFont="1" applyBorder="1" applyAlignment="1">
      <alignment horizontal="center" vertical="center" wrapText="1"/>
    </xf>
    <xf numFmtId="2" fontId="34" fillId="0" borderId="21" xfId="1" applyNumberFormat="1" applyFont="1" applyBorder="1" applyAlignment="1">
      <alignment horizontal="center" vertical="center" wrapText="1"/>
    </xf>
    <xf numFmtId="2" fontId="15" fillId="0" borderId="0" xfId="1" applyNumberFormat="1" applyBorder="1" applyAlignment="1">
      <alignment horizontal="center" vertical="center"/>
    </xf>
    <xf numFmtId="2" fontId="15" fillId="0" borderId="0" xfId="1" applyNumberFormat="1"/>
    <xf numFmtId="2" fontId="15" fillId="0" borderId="0" xfId="1" applyNumberFormat="1" applyFill="1"/>
    <xf numFmtId="0" fontId="37" fillId="0" borderId="0" xfId="1" applyFont="1" applyBorder="1" applyAlignment="1">
      <alignment horizontal="center" vertical="center"/>
    </xf>
    <xf numFmtId="2" fontId="38" fillId="0" borderId="0" xfId="1" applyNumberFormat="1" applyFont="1" applyBorder="1" applyAlignment="1">
      <alignment horizontal="center" vertical="center"/>
    </xf>
    <xf numFmtId="2" fontId="38" fillId="0" borderId="0" xfId="1" applyNumberFormat="1" applyFont="1" applyFill="1" applyBorder="1" applyAlignment="1">
      <alignment horizontal="center" vertical="center"/>
    </xf>
    <xf numFmtId="0" fontId="41" fillId="0" borderId="0" xfId="1" applyFont="1" applyAlignment="1">
      <alignment horizontal="left" vertical="center"/>
    </xf>
    <xf numFmtId="0" fontId="24" fillId="0" borderId="0" xfId="1" applyFont="1" applyAlignment="1">
      <alignment horizontal="left" vertical="center"/>
    </xf>
    <xf numFmtId="0" fontId="15" fillId="0" borderId="0" xfId="1"/>
    <xf numFmtId="0" fontId="15" fillId="0" borderId="0" xfId="1" applyAlignment="1">
      <alignment horizontal="center" vertical="center"/>
    </xf>
    <xf numFmtId="0" fontId="15" fillId="0" borderId="0" xfId="1" applyFill="1" applyAlignment="1">
      <alignment horizontal="center" vertical="center"/>
    </xf>
    <xf numFmtId="0" fontId="22" fillId="0" borderId="0" xfId="1" applyFont="1"/>
    <xf numFmtId="0" fontId="44" fillId="0" borderId="0" xfId="1" applyFont="1"/>
    <xf numFmtId="0" fontId="43" fillId="0" borderId="0" xfId="1" applyFont="1"/>
    <xf numFmtId="0" fontId="26" fillId="0" borderId="22" xfId="1" applyFont="1" applyBorder="1" applyAlignment="1"/>
    <xf numFmtId="0" fontId="43" fillId="0" borderId="8" xfId="1" applyFont="1" applyBorder="1"/>
    <xf numFmtId="0" fontId="43" fillId="0" borderId="8" xfId="1" applyFont="1" applyFill="1" applyBorder="1" applyAlignment="1">
      <alignment horizontal="right" vertical="center"/>
    </xf>
    <xf numFmtId="2" fontId="26" fillId="0" borderId="22" xfId="1" applyNumberFormat="1" applyFont="1" applyBorder="1" applyAlignment="1"/>
    <xf numFmtId="0" fontId="43" fillId="0" borderId="17" xfId="1" applyFont="1" applyBorder="1"/>
    <xf numFmtId="0" fontId="43" fillId="0" borderId="17" xfId="1" applyFont="1" applyFill="1" applyBorder="1" applyAlignment="1">
      <alignment horizontal="right" vertical="center"/>
    </xf>
    <xf numFmtId="0" fontId="43" fillId="0" borderId="0" xfId="1" applyFont="1" applyAlignment="1">
      <alignment horizontal="right"/>
    </xf>
    <xf numFmtId="0" fontId="10" fillId="0" borderId="5" xfId="1" applyFont="1" applyBorder="1" applyAlignment="1">
      <alignment horizontal="left" vertical="center"/>
    </xf>
    <xf numFmtId="0" fontId="10" fillId="0" borderId="13" xfId="1" applyFont="1" applyBorder="1" applyAlignment="1">
      <alignment horizontal="left" vertical="center"/>
    </xf>
    <xf numFmtId="0" fontId="10" fillId="0" borderId="9" xfId="1" applyFont="1" applyBorder="1" applyAlignment="1">
      <alignment horizontal="left" vertical="center"/>
    </xf>
    <xf numFmtId="0" fontId="15" fillId="4" borderId="0" xfId="1" applyFill="1" applyAlignment="1">
      <alignment horizontal="center"/>
    </xf>
    <xf numFmtId="0" fontId="10" fillId="0" borderId="24" xfId="1" applyFont="1" applyFill="1" applyBorder="1" applyAlignment="1">
      <alignment horizontal="right" vertical="center"/>
    </xf>
    <xf numFmtId="0" fontId="15" fillId="0" borderId="0" xfId="1" applyAlignment="1"/>
    <xf numFmtId="0" fontId="15" fillId="0" borderId="0" xfId="1" applyFill="1" applyAlignment="1"/>
    <xf numFmtId="167" fontId="15" fillId="0" borderId="0" xfId="1" applyNumberFormat="1" applyAlignment="1">
      <alignment horizontal="center" vertical="center"/>
    </xf>
    <xf numFmtId="2" fontId="34" fillId="5" borderId="18" xfId="1" applyNumberFormat="1" applyFont="1" applyFill="1" applyBorder="1" applyAlignment="1">
      <alignment horizontal="center" vertical="center" wrapText="1"/>
    </xf>
    <xf numFmtId="0" fontId="15" fillId="5" borderId="18" xfId="1" applyFill="1" applyBorder="1"/>
    <xf numFmtId="0" fontId="16" fillId="0" borderId="0" xfId="1" applyFont="1" applyFill="1" applyBorder="1" applyAlignment="1">
      <alignment horizontal="center" vertical="center"/>
    </xf>
    <xf numFmtId="0" fontId="16" fillId="0" borderId="0" xfId="1" applyFont="1" applyAlignment="1">
      <alignment vertical="center"/>
    </xf>
    <xf numFmtId="0" fontId="16" fillId="0" borderId="0" xfId="1" applyFont="1" applyBorder="1" applyAlignment="1">
      <alignment vertical="center"/>
    </xf>
    <xf numFmtId="0" fontId="15" fillId="4" borderId="0" xfId="1" applyFill="1" applyAlignment="1">
      <alignment horizontal="left"/>
    </xf>
    <xf numFmtId="0" fontId="15" fillId="0" borderId="0" xfId="1" applyAlignment="1">
      <alignment vertical="center"/>
    </xf>
    <xf numFmtId="0" fontId="10" fillId="0" borderId="0" xfId="1" applyFont="1" applyAlignment="1">
      <alignment vertical="center"/>
    </xf>
    <xf numFmtId="0" fontId="20" fillId="0" borderId="0" xfId="1" applyFont="1" applyAlignment="1">
      <alignment vertical="center"/>
    </xf>
    <xf numFmtId="0" fontId="0" fillId="0" borderId="0" xfId="0" applyBorder="1" applyAlignment="1" applyProtection="1">
      <alignment vertical="center"/>
      <protection locked="0"/>
    </xf>
    <xf numFmtId="0" fontId="10" fillId="0" borderId="0" xfId="1" applyFont="1" applyAlignment="1">
      <alignment horizontal="right" vertical="center"/>
    </xf>
    <xf numFmtId="0" fontId="10" fillId="0" borderId="0" xfId="1" applyFont="1" applyFill="1" applyAlignment="1">
      <alignment vertical="center"/>
    </xf>
    <xf numFmtId="0" fontId="13" fillId="0" borderId="0" xfId="1" applyFont="1" applyFill="1" applyAlignment="1">
      <alignment vertical="center"/>
    </xf>
    <xf numFmtId="0" fontId="10" fillId="0" borderId="0" xfId="1" applyFont="1" applyFill="1" applyAlignment="1">
      <alignment horizontal="right" vertical="center"/>
    </xf>
    <xf numFmtId="0" fontId="10" fillId="0" borderId="5" xfId="1" applyFont="1" applyBorder="1" applyAlignment="1">
      <alignment vertical="center"/>
    </xf>
    <xf numFmtId="0" fontId="10" fillId="0" borderId="7" xfId="1" applyFont="1" applyBorder="1" applyAlignment="1">
      <alignment vertical="center"/>
    </xf>
    <xf numFmtId="0" fontId="10" fillId="0" borderId="9" xfId="1" applyFont="1" applyBorder="1" applyAlignment="1">
      <alignment vertical="center"/>
    </xf>
    <xf numFmtId="0" fontId="10" fillId="0" borderId="11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0" fontId="10" fillId="0" borderId="14" xfId="1" applyFont="1" applyBorder="1" applyAlignment="1">
      <alignment vertical="center"/>
    </xf>
    <xf numFmtId="0" fontId="24" fillId="0" borderId="0" xfId="1" applyFont="1" applyAlignment="1">
      <alignment vertical="center"/>
    </xf>
    <xf numFmtId="0" fontId="41" fillId="0" borderId="0" xfId="1" applyFont="1" applyAlignment="1">
      <alignment vertical="center"/>
    </xf>
    <xf numFmtId="0" fontId="42" fillId="0" borderId="0" xfId="1" applyFont="1" applyAlignment="1">
      <alignment vertical="center"/>
    </xf>
    <xf numFmtId="164" fontId="16" fillId="0" borderId="0" xfId="1" applyNumberFormat="1" applyFont="1" applyAlignment="1">
      <alignment vertical="center"/>
    </xf>
    <xf numFmtId="0" fontId="45" fillId="0" borderId="0" xfId="1" applyFont="1" applyAlignment="1">
      <alignment vertical="center"/>
    </xf>
    <xf numFmtId="0" fontId="40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6" fillId="0" borderId="0" xfId="1" applyFont="1" applyFill="1" applyBorder="1" applyAlignment="1">
      <alignment vertical="center"/>
    </xf>
    <xf numFmtId="0" fontId="16" fillId="0" borderId="0" xfId="1" applyFont="1" applyFill="1" applyBorder="1" applyAlignment="1">
      <alignment horizontal="centerContinuous" vertical="center"/>
    </xf>
    <xf numFmtId="0" fontId="24" fillId="0" borderId="0" xfId="1" applyFont="1" applyAlignment="1">
      <alignment horizontal="right" vertical="center"/>
    </xf>
    <xf numFmtId="0" fontId="39" fillId="0" borderId="0" xfId="1" applyFont="1" applyAlignment="1">
      <alignment horizontal="right" vertical="center"/>
    </xf>
    <xf numFmtId="0" fontId="39" fillId="0" borderId="0" xfId="1" applyFont="1" applyAlignment="1">
      <alignment vertical="center"/>
    </xf>
    <xf numFmtId="0" fontId="16" fillId="0" borderId="2" xfId="1" applyFont="1" applyBorder="1" applyAlignment="1">
      <alignment horizontal="left" vertical="center"/>
    </xf>
    <xf numFmtId="0" fontId="16" fillId="0" borderId="3" xfId="1" applyFont="1" applyBorder="1" applyAlignment="1">
      <alignment horizontal="left" vertical="center"/>
    </xf>
    <xf numFmtId="0" fontId="17" fillId="0" borderId="0" xfId="1" applyFont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25" xfId="1" applyFont="1" applyFill="1" applyBorder="1" applyAlignment="1">
      <alignment horizontal="left" vertical="center"/>
    </xf>
    <xf numFmtId="0" fontId="16" fillId="0" borderId="25" xfId="1" applyFont="1" applyFill="1" applyBorder="1" applyAlignment="1">
      <alignment vertical="center"/>
    </xf>
    <xf numFmtId="2" fontId="7" fillId="0" borderId="0" xfId="1" applyNumberFormat="1" applyFont="1" applyFill="1" applyAlignment="1">
      <alignment horizontal="right"/>
    </xf>
    <xf numFmtId="2" fontId="13" fillId="0" borderId="0" xfId="1" applyNumberFormat="1" applyFont="1" applyFill="1" applyAlignment="1">
      <alignment horizontal="right"/>
    </xf>
    <xf numFmtId="0" fontId="16" fillId="0" borderId="0" xfId="1" applyFont="1" applyAlignment="1">
      <alignment horizontal="left" vertical="center"/>
    </xf>
    <xf numFmtId="0" fontId="16" fillId="0" borderId="0" xfId="1" applyFont="1" applyFill="1" applyBorder="1" applyAlignment="1">
      <alignment horizontal="left" vertical="center"/>
    </xf>
    <xf numFmtId="0" fontId="16" fillId="0" borderId="0" xfId="1" applyFont="1" applyFill="1" applyBorder="1" applyAlignment="1">
      <alignment horizontal="right" vertical="center"/>
    </xf>
    <xf numFmtId="0" fontId="47" fillId="0" borderId="0" xfId="1" applyFont="1" applyAlignment="1">
      <alignment vertical="center"/>
    </xf>
    <xf numFmtId="0" fontId="48" fillId="0" borderId="31" xfId="1" applyFont="1" applyFill="1" applyBorder="1" applyAlignment="1">
      <alignment horizontal="center" vertical="center"/>
    </xf>
    <xf numFmtId="0" fontId="49" fillId="0" borderId="0" xfId="1" applyFont="1" applyAlignment="1">
      <alignment horizontal="left" vertical="center"/>
    </xf>
    <xf numFmtId="0" fontId="49" fillId="0" borderId="0" xfId="1" applyFont="1" applyAlignment="1">
      <alignment vertical="center"/>
    </xf>
    <xf numFmtId="0" fontId="49" fillId="0" borderId="25" xfId="1" applyFont="1" applyFill="1" applyBorder="1" applyAlignment="1">
      <alignment horizontal="left" vertical="center"/>
    </xf>
    <xf numFmtId="0" fontId="50" fillId="0" borderId="0" xfId="0" applyFont="1" applyBorder="1" applyAlignment="1">
      <alignment horizontal="center" vertical="center"/>
    </xf>
    <xf numFmtId="0" fontId="49" fillId="0" borderId="25" xfId="1" applyFont="1" applyFill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49" fillId="0" borderId="0" xfId="1" applyFont="1" applyAlignment="1">
      <alignment horizontal="right" vertical="center"/>
    </xf>
    <xf numFmtId="0" fontId="50" fillId="0" borderId="0" xfId="0" applyFont="1" applyBorder="1" applyAlignment="1" applyProtection="1">
      <alignment vertical="center"/>
      <protection locked="0"/>
    </xf>
    <xf numFmtId="0" fontId="50" fillId="0" borderId="23" xfId="0" applyFont="1" applyBorder="1" applyAlignment="1" applyProtection="1">
      <alignment vertical="center"/>
      <protection locked="0"/>
    </xf>
    <xf numFmtId="0" fontId="49" fillId="0" borderId="0" xfId="1" applyFont="1" applyFill="1" applyAlignment="1">
      <alignment vertical="center"/>
    </xf>
    <xf numFmtId="0" fontId="45" fillId="0" borderId="0" xfId="1" applyFont="1" applyFill="1" applyAlignment="1">
      <alignment vertical="center"/>
    </xf>
    <xf numFmtId="0" fontId="49" fillId="0" borderId="0" xfId="1" applyFont="1" applyFill="1" applyBorder="1" applyAlignment="1">
      <alignment horizontal="center" vertical="center"/>
    </xf>
    <xf numFmtId="0" fontId="49" fillId="6" borderId="1" xfId="1" applyFont="1" applyFill="1" applyBorder="1" applyAlignment="1">
      <alignment horizontal="left" vertical="center"/>
    </xf>
    <xf numFmtId="0" fontId="49" fillId="6" borderId="2" xfId="1" applyFont="1" applyFill="1" applyBorder="1" applyAlignment="1">
      <alignment horizontal="left" vertical="center"/>
    </xf>
    <xf numFmtId="0" fontId="49" fillId="6" borderId="3" xfId="1" applyFont="1" applyFill="1" applyBorder="1" applyAlignment="1">
      <alignment horizontal="left" vertical="center"/>
    </xf>
    <xf numFmtId="0" fontId="13" fillId="0" borderId="0" xfId="1" applyFont="1" applyFill="1" applyBorder="1" applyAlignment="1">
      <alignment vertical="center"/>
    </xf>
    <xf numFmtId="0" fontId="13" fillId="0" borderId="0" xfId="1" applyFont="1" applyFill="1" applyAlignment="1">
      <alignment horizontal="left" vertical="center"/>
    </xf>
    <xf numFmtId="0" fontId="52" fillId="0" borderId="0" xfId="1" applyFont="1" applyFill="1" applyBorder="1" applyAlignment="1">
      <alignment vertical="center"/>
    </xf>
    <xf numFmtId="0" fontId="53" fillId="0" borderId="0" xfId="1" applyFont="1" applyFill="1" applyBorder="1" applyAlignment="1">
      <alignment vertical="center"/>
    </xf>
    <xf numFmtId="0" fontId="53" fillId="0" borderId="0" xfId="1" applyFont="1" applyFill="1" applyBorder="1" applyAlignment="1">
      <alignment horizontal="right" vertical="center"/>
    </xf>
    <xf numFmtId="0" fontId="15" fillId="4" borderId="0" xfId="1" applyFill="1" applyAlignment="1">
      <alignment horizontal="center" vertical="center"/>
    </xf>
    <xf numFmtId="2" fontId="34" fillId="7" borderId="18" xfId="1" applyNumberFormat="1" applyFont="1" applyFill="1" applyBorder="1" applyAlignment="1">
      <alignment horizontal="center" vertical="center" wrapText="1"/>
    </xf>
    <xf numFmtId="0" fontId="15" fillId="7" borderId="0" xfId="1" applyFill="1" applyAlignment="1">
      <alignment horizontal="right" vertical="center"/>
    </xf>
    <xf numFmtId="2" fontId="33" fillId="7" borderId="18" xfId="1" applyNumberFormat="1" applyFont="1" applyFill="1" applyBorder="1" applyAlignment="1">
      <alignment horizontal="center" vertical="center" wrapText="1"/>
    </xf>
    <xf numFmtId="2" fontId="34" fillId="7" borderId="19" xfId="1" applyNumberFormat="1" applyFont="1" applyFill="1" applyBorder="1" applyAlignment="1">
      <alignment horizontal="center" vertical="center" wrapText="1"/>
    </xf>
    <xf numFmtId="2" fontId="33" fillId="0" borderId="0" xfId="1" applyNumberFormat="1" applyFont="1" applyFill="1" applyBorder="1" applyAlignment="1">
      <alignment horizontal="center" vertical="center" wrapText="1"/>
    </xf>
    <xf numFmtId="2" fontId="34" fillId="0" borderId="0" xfId="1" applyNumberFormat="1" applyFont="1" applyFill="1" applyBorder="1" applyAlignment="1">
      <alignment horizontal="center" vertical="center" wrapText="1"/>
    </xf>
    <xf numFmtId="2" fontId="34" fillId="7" borderId="1" xfId="1" applyNumberFormat="1" applyFont="1" applyFill="1" applyBorder="1" applyAlignment="1">
      <alignment horizontal="center" vertical="center" wrapText="1"/>
    </xf>
    <xf numFmtId="0" fontId="15" fillId="3" borderId="0" xfId="1" applyFill="1"/>
    <xf numFmtId="9" fontId="15" fillId="0" borderId="0" xfId="1" applyNumberFormat="1" applyFill="1" applyBorder="1"/>
    <xf numFmtId="0" fontId="10" fillId="0" borderId="20" xfId="1" applyFont="1" applyBorder="1" applyAlignment="1">
      <alignment horizontal="left" vertical="center"/>
    </xf>
    <xf numFmtId="2" fontId="10" fillId="0" borderId="0" xfId="1" applyNumberFormat="1" applyFont="1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horizontal="right" vertical="center"/>
      <protection locked="0"/>
    </xf>
    <xf numFmtId="0" fontId="10" fillId="0" borderId="2" xfId="1" applyFont="1" applyBorder="1" applyAlignment="1">
      <alignment horizontal="left" vertical="center"/>
    </xf>
    <xf numFmtId="0" fontId="16" fillId="0" borderId="2" xfId="1" applyFont="1" applyBorder="1" applyAlignment="1">
      <alignment vertical="center"/>
    </xf>
    <xf numFmtId="0" fontId="16" fillId="0" borderId="0" xfId="1" applyFont="1" applyFill="1" applyBorder="1" applyAlignment="1">
      <alignment horizontal="center" vertical="center"/>
    </xf>
    <xf numFmtId="164" fontId="16" fillId="0" borderId="0" xfId="1" applyNumberFormat="1" applyFont="1" applyBorder="1" applyAlignment="1" applyProtection="1">
      <alignment horizontal="right" vertical="center"/>
    </xf>
    <xf numFmtId="0" fontId="40" fillId="0" borderId="0" xfId="1" applyFont="1" applyFill="1" applyBorder="1" applyAlignment="1">
      <alignment vertical="center"/>
    </xf>
    <xf numFmtId="0" fontId="41" fillId="0" borderId="0" xfId="1" applyFont="1" applyFill="1" applyBorder="1" applyAlignment="1">
      <alignment vertical="center"/>
    </xf>
    <xf numFmtId="9" fontId="16" fillId="0" borderId="0" xfId="1" applyNumberFormat="1" applyFont="1" applyFill="1" applyBorder="1" applyAlignment="1">
      <alignment vertical="center"/>
    </xf>
    <xf numFmtId="2" fontId="16" fillId="0" borderId="0" xfId="1" applyNumberFormat="1" applyFont="1" applyFill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16" fillId="0" borderId="25" xfId="1" applyFont="1" applyBorder="1" applyAlignment="1">
      <alignment vertical="center"/>
    </xf>
    <xf numFmtId="164" fontId="16" fillId="0" borderId="26" xfId="1" applyNumberFormat="1" applyFont="1" applyBorder="1" applyAlignment="1" applyProtection="1">
      <alignment horizontal="right" vertical="center"/>
    </xf>
    <xf numFmtId="0" fontId="16" fillId="0" borderId="36" xfId="1" applyFont="1" applyBorder="1" applyAlignment="1">
      <alignment vertical="center"/>
    </xf>
    <xf numFmtId="0" fontId="16" fillId="0" borderId="20" xfId="1" applyFont="1" applyBorder="1" applyAlignment="1">
      <alignment vertical="center"/>
    </xf>
    <xf numFmtId="164" fontId="16" fillId="0" borderId="20" xfId="1" applyNumberFormat="1" applyFont="1" applyBorder="1" applyAlignment="1" applyProtection="1">
      <alignment horizontal="right" vertical="center"/>
    </xf>
    <xf numFmtId="0" fontId="16" fillId="0" borderId="26" xfId="1" applyFont="1" applyBorder="1" applyAlignment="1">
      <alignment vertical="center"/>
    </xf>
    <xf numFmtId="0" fontId="16" fillId="0" borderId="25" xfId="1" applyFont="1" applyBorder="1" applyAlignment="1">
      <alignment horizontal="left" vertical="center"/>
    </xf>
    <xf numFmtId="0" fontId="16" fillId="0" borderId="37" xfId="1" applyFont="1" applyBorder="1" applyAlignment="1">
      <alignment vertical="center"/>
    </xf>
    <xf numFmtId="0" fontId="16" fillId="0" borderId="36" xfId="1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20" fillId="0" borderId="25" xfId="1" applyFont="1" applyBorder="1" applyAlignment="1">
      <alignment horizontal="center" vertical="center"/>
    </xf>
    <xf numFmtId="2" fontId="16" fillId="0" borderId="25" xfId="1" applyNumberFormat="1" applyFont="1" applyBorder="1" applyAlignment="1">
      <alignment horizontal="center" vertical="center"/>
    </xf>
    <xf numFmtId="0" fontId="16" fillId="0" borderId="40" xfId="1" applyFont="1" applyBorder="1" applyAlignment="1">
      <alignment vertical="center"/>
    </xf>
    <xf numFmtId="0" fontId="15" fillId="5" borderId="0" xfId="1" applyFill="1"/>
    <xf numFmtId="0" fontId="16" fillId="0" borderId="0" xfId="1" applyFont="1" applyFill="1" applyAlignment="1">
      <alignment vertical="center"/>
    </xf>
    <xf numFmtId="0" fontId="15" fillId="0" borderId="0" xfId="1" applyFill="1" applyAlignment="1">
      <alignment vertical="center"/>
    </xf>
    <xf numFmtId="2" fontId="34" fillId="0" borderId="18" xfId="1" applyNumberFormat="1" applyFont="1" applyBorder="1" applyAlignment="1">
      <alignment horizontal="center" vertical="center" wrapText="1"/>
    </xf>
    <xf numFmtId="0" fontId="16" fillId="0" borderId="41" xfId="1" applyFont="1" applyBorder="1" applyAlignment="1">
      <alignment vertical="center"/>
    </xf>
    <xf numFmtId="0" fontId="11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0" fillId="0" borderId="4" xfId="1" applyFont="1" applyBorder="1" applyAlignment="1">
      <alignment horizontal="left" vertical="center"/>
    </xf>
    <xf numFmtId="0" fontId="0" fillId="0" borderId="8" xfId="1" applyFont="1" applyBorder="1" applyAlignment="1">
      <alignment horizontal="left" vertical="center"/>
    </xf>
    <xf numFmtId="0" fontId="0" fillId="0" borderId="24" xfId="1" applyFont="1" applyBorder="1" applyAlignment="1">
      <alignment horizontal="left" vertical="center"/>
    </xf>
    <xf numFmtId="0" fontId="0" fillId="0" borderId="6" xfId="1" applyFont="1" applyBorder="1" applyAlignment="1">
      <alignment horizontal="left" vertical="center"/>
    </xf>
    <xf numFmtId="0" fontId="0" fillId="0" borderId="10" xfId="1" applyFont="1" applyBorder="1" applyAlignment="1">
      <alignment horizontal="left" vertical="center"/>
    </xf>
    <xf numFmtId="0" fontId="0" fillId="0" borderId="12" xfId="1" applyFont="1" applyBorder="1" applyAlignment="1">
      <alignment horizontal="left" vertical="center"/>
    </xf>
    <xf numFmtId="0" fontId="11" fillId="0" borderId="10" xfId="1" applyFont="1" applyBorder="1" applyAlignment="1">
      <alignment horizontal="left" vertical="center"/>
    </xf>
    <xf numFmtId="0" fontId="11" fillId="0" borderId="12" xfId="1" applyFont="1" applyBorder="1" applyAlignment="1">
      <alignment horizontal="left" vertical="center"/>
    </xf>
    <xf numFmtId="0" fontId="0" fillId="0" borderId="0" xfId="1" applyFont="1" applyAlignment="1">
      <alignment horizontal="right" vertical="center"/>
    </xf>
    <xf numFmtId="0" fontId="0" fillId="0" borderId="1" xfId="1" applyFont="1" applyBorder="1" applyAlignment="1">
      <alignment horizontal="left" vertical="center"/>
    </xf>
    <xf numFmtId="0" fontId="16" fillId="0" borderId="0" xfId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0" fontId="49" fillId="0" borderId="0" xfId="1" applyFont="1" applyAlignment="1" applyProtection="1">
      <alignment vertical="center"/>
      <protection locked="0"/>
    </xf>
    <xf numFmtId="0" fontId="49" fillId="0" borderId="23" xfId="1" applyFont="1" applyBorder="1" applyAlignment="1" applyProtection="1">
      <alignment vertical="center"/>
      <protection locked="0"/>
    </xf>
    <xf numFmtId="0" fontId="16" fillId="0" borderId="0" xfId="1" applyFont="1" applyAlignment="1" applyProtection="1">
      <alignment vertical="center"/>
      <protection locked="0"/>
    </xf>
    <xf numFmtId="0" fontId="3" fillId="0" borderId="0" xfId="1" applyFont="1" applyAlignment="1">
      <alignment horizontal="right" vertical="center"/>
    </xf>
    <xf numFmtId="0" fontId="3" fillId="0" borderId="0" xfId="1" applyFont="1" applyFill="1" applyAlignment="1">
      <alignment horizontal="righ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Fill="1" applyBorder="1" applyAlignment="1">
      <alignment vertical="center"/>
    </xf>
    <xf numFmtId="0" fontId="3" fillId="0" borderId="31" xfId="1" applyFont="1" applyFill="1" applyBorder="1" applyAlignment="1">
      <alignment horizontal="center" vertical="center"/>
    </xf>
    <xf numFmtId="0" fontId="3" fillId="0" borderId="41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40" xfId="1" applyFont="1" applyFill="1" applyBorder="1" applyAlignment="1">
      <alignment vertical="center"/>
    </xf>
    <xf numFmtId="0" fontId="3" fillId="0" borderId="0" xfId="1" applyFont="1" applyFill="1" applyBorder="1" applyAlignment="1" applyProtection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164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0" xfId="1" applyFont="1" applyFill="1" applyBorder="1" applyAlignment="1" applyProtection="1">
      <alignment horizontal="right" vertical="center"/>
    </xf>
    <xf numFmtId="0" fontId="11" fillId="0" borderId="0" xfId="5"/>
    <xf numFmtId="0" fontId="60" fillId="6" borderId="0" xfId="5" applyFont="1" applyFill="1" applyAlignment="1">
      <alignment horizontal="center"/>
    </xf>
    <xf numFmtId="0" fontId="57" fillId="0" borderId="0" xfId="6" applyFont="1" applyFill="1" applyBorder="1" applyAlignment="1" applyProtection="1">
      <alignment horizontal="left" vertical="center"/>
      <protection locked="0"/>
    </xf>
    <xf numFmtId="0" fontId="63" fillId="0" borderId="0" xfId="6" applyFont="1" applyFill="1" applyBorder="1" applyAlignment="1" applyProtection="1">
      <alignment horizontal="left" vertical="center"/>
      <protection locked="0"/>
    </xf>
    <xf numFmtId="0" fontId="62" fillId="0" borderId="0" xfId="6" applyFill="1" applyBorder="1" applyAlignment="1" applyProtection="1">
      <alignment horizontal="left" vertical="center"/>
      <protection locked="0"/>
    </xf>
    <xf numFmtId="0" fontId="62" fillId="0" borderId="0" xfId="6"/>
    <xf numFmtId="0" fontId="63" fillId="0" borderId="0" xfId="6" applyFont="1" applyFill="1" applyBorder="1" applyAlignment="1" applyProtection="1">
      <alignment horizontal="left" vertical="center"/>
    </xf>
    <xf numFmtId="0" fontId="57" fillId="0" borderId="0" xfId="1" applyNumberFormat="1" applyFont="1" applyFill="1" applyBorder="1" applyAlignment="1">
      <alignment vertical="center" wrapText="1"/>
    </xf>
    <xf numFmtId="0" fontId="57" fillId="0" borderId="0" xfId="1" applyNumberFormat="1" applyFont="1" applyFill="1" applyBorder="1" applyAlignment="1">
      <alignment horizontal="left" vertical="center" wrapText="1"/>
    </xf>
    <xf numFmtId="49" fontId="63" fillId="0" borderId="0" xfId="7" applyNumberFormat="1" applyFont="1" applyFill="1" applyBorder="1" applyAlignment="1" applyProtection="1">
      <alignment vertical="center" wrapText="1"/>
    </xf>
    <xf numFmtId="49" fontId="63" fillId="0" borderId="0" xfId="6" applyNumberFormat="1" applyFont="1" applyFill="1" applyBorder="1" applyAlignment="1">
      <alignment vertical="center" wrapText="1"/>
    </xf>
    <xf numFmtId="0" fontId="63" fillId="0" borderId="0" xfId="6" applyFont="1" applyFill="1" applyBorder="1" applyAlignment="1" applyProtection="1">
      <alignment vertical="center"/>
      <protection locked="0"/>
    </xf>
    <xf numFmtId="0" fontId="62" fillId="0" borderId="0" xfId="6" applyFill="1" applyBorder="1" applyAlignment="1" applyProtection="1">
      <alignment vertical="center"/>
      <protection locked="0"/>
    </xf>
    <xf numFmtId="0" fontId="10" fillId="0" borderId="9" xfId="1" applyFont="1" applyFill="1" applyBorder="1" applyAlignment="1">
      <alignment horizontal="right" vertical="center"/>
    </xf>
    <xf numFmtId="0" fontId="16" fillId="0" borderId="33" xfId="1" applyFont="1" applyBorder="1" applyAlignment="1">
      <alignment vertical="center"/>
    </xf>
    <xf numFmtId="164" fontId="16" fillId="0" borderId="37" xfId="1" applyNumberFormat="1" applyFont="1" applyBorder="1" applyAlignment="1" applyProtection="1">
      <alignment horizontal="right" vertical="center"/>
    </xf>
    <xf numFmtId="164" fontId="16" fillId="0" borderId="33" xfId="1" applyNumberFormat="1" applyFont="1" applyBorder="1" applyAlignment="1" applyProtection="1">
      <alignment horizontal="right" vertical="center"/>
    </xf>
    <xf numFmtId="0" fontId="1" fillId="0" borderId="31" xfId="1" applyFont="1" applyFill="1" applyBorder="1" applyAlignment="1">
      <alignment horizontal="center" vertical="center"/>
    </xf>
    <xf numFmtId="0" fontId="61" fillId="0" borderId="0" xfId="0" applyFont="1" applyFill="1" applyBorder="1" applyAlignment="1" applyProtection="1">
      <alignment horizontal="left" vertical="center"/>
      <protection locked="0"/>
    </xf>
    <xf numFmtId="0" fontId="61" fillId="0" borderId="0" xfId="0" applyFont="1" applyFill="1" applyBorder="1" applyAlignment="1" applyProtection="1">
      <alignment vertical="center"/>
      <protection locked="0"/>
    </xf>
    <xf numFmtId="0" fontId="61" fillId="0" borderId="0" xfId="0" applyFont="1" applyFill="1" applyBorder="1" applyAlignment="1" applyProtection="1">
      <alignment horizontal="left" vertical="center" wrapText="1"/>
      <protection locked="0"/>
    </xf>
    <xf numFmtId="0" fontId="61" fillId="0" borderId="0" xfId="0" applyFont="1" applyFill="1" applyBorder="1" applyAlignment="1">
      <alignment vertical="center"/>
    </xf>
    <xf numFmtId="0" fontId="61" fillId="0" borderId="0" xfId="0" applyFont="1" applyFill="1" applyBorder="1" applyAlignment="1">
      <alignment horizontal="left" vertical="center"/>
    </xf>
    <xf numFmtId="0" fontId="42" fillId="9" borderId="0" xfId="1" applyFont="1" applyFill="1"/>
    <xf numFmtId="0" fontId="42" fillId="9" borderId="0" xfId="1" applyFont="1" applyFill="1" applyAlignment="1">
      <alignment horizontal="right" vertical="center"/>
    </xf>
    <xf numFmtId="2" fontId="66" fillId="9" borderId="18" xfId="1" applyNumberFormat="1" applyFont="1" applyFill="1" applyBorder="1" applyAlignment="1">
      <alignment horizontal="center" vertical="center" wrapText="1"/>
    </xf>
    <xf numFmtId="2" fontId="67" fillId="9" borderId="18" xfId="1" applyNumberFormat="1" applyFont="1" applyFill="1" applyBorder="1" applyAlignment="1">
      <alignment horizontal="center" vertical="center" wrapText="1"/>
    </xf>
    <xf numFmtId="2" fontId="67" fillId="9" borderId="1" xfId="1" applyNumberFormat="1" applyFont="1" applyFill="1" applyBorder="1" applyAlignment="1">
      <alignment horizontal="center" vertical="center" wrapText="1"/>
    </xf>
    <xf numFmtId="2" fontId="67" fillId="9" borderId="19" xfId="1" applyNumberFormat="1" applyFont="1" applyFill="1" applyBorder="1" applyAlignment="1">
      <alignment horizontal="center" vertical="center" wrapText="1"/>
    </xf>
    <xf numFmtId="1" fontId="15" fillId="9" borderId="0" xfId="1" applyNumberFormat="1" applyFill="1" applyBorder="1"/>
    <xf numFmtId="0" fontId="15" fillId="9" borderId="0" xfId="1" applyFill="1" applyBorder="1"/>
    <xf numFmtId="0" fontId="15" fillId="9" borderId="0" xfId="1" applyFill="1"/>
    <xf numFmtId="0" fontId="15" fillId="9" borderId="0" xfId="1" applyFill="1" applyAlignment="1"/>
    <xf numFmtId="0" fontId="15" fillId="9" borderId="0" xfId="1" applyFill="1" applyAlignment="1">
      <alignment horizontal="center" vertical="center"/>
    </xf>
    <xf numFmtId="2" fontId="15" fillId="9" borderId="0" xfId="1" applyNumberFormat="1" applyFill="1" applyAlignment="1">
      <alignment horizontal="center" vertical="center"/>
    </xf>
    <xf numFmtId="0" fontId="15" fillId="9" borderId="0" xfId="1" applyFill="1" applyBorder="1" applyAlignment="1">
      <alignment horizontal="center" vertical="center"/>
    </xf>
    <xf numFmtId="2" fontId="34" fillId="0" borderId="18" xfId="1" applyNumberFormat="1" applyFont="1" applyBorder="1" applyAlignment="1">
      <alignment horizontal="center" vertical="center" wrapText="1"/>
    </xf>
    <xf numFmtId="2" fontId="15" fillId="0" borderId="0" xfId="1" applyNumberFormat="1" applyFill="1" applyAlignment="1">
      <alignment horizontal="center" vertical="center"/>
    </xf>
    <xf numFmtId="0" fontId="15" fillId="0" borderId="42" xfId="1" applyBorder="1"/>
    <xf numFmtId="0" fontId="15" fillId="0" borderId="42" xfId="1" applyBorder="1" applyAlignment="1"/>
    <xf numFmtId="0" fontId="15" fillId="0" borderId="42" xfId="1" applyFill="1" applyBorder="1" applyAlignment="1">
      <alignment horizontal="center" vertical="center"/>
    </xf>
    <xf numFmtId="2" fontId="15" fillId="0" borderId="42" xfId="1" applyNumberFormat="1" applyBorder="1" applyAlignment="1">
      <alignment horizontal="center" vertical="center"/>
    </xf>
    <xf numFmtId="0" fontId="15" fillId="0" borderId="42" xfId="1" applyBorder="1" applyAlignment="1">
      <alignment horizontal="center" vertical="center"/>
    </xf>
    <xf numFmtId="0" fontId="15" fillId="0" borderId="43" xfId="1" applyBorder="1" applyAlignment="1"/>
    <xf numFmtId="0" fontId="15" fillId="0" borderId="43" xfId="1" applyFill="1" applyBorder="1" applyAlignment="1">
      <alignment horizontal="center" vertical="center"/>
    </xf>
    <xf numFmtId="0" fontId="15" fillId="0" borderId="43" xfId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16" fillId="10" borderId="0" xfId="1" applyFont="1" applyFill="1" applyAlignment="1">
      <alignment vertical="center"/>
    </xf>
    <xf numFmtId="0" fontId="45" fillId="10" borderId="0" xfId="1" applyFont="1" applyFill="1" applyBorder="1" applyAlignment="1">
      <alignment vertical="center"/>
    </xf>
    <xf numFmtId="0" fontId="16" fillId="10" borderId="4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0" fontId="16" fillId="10" borderId="41" xfId="1" applyFont="1" applyFill="1" applyBorder="1" applyAlignment="1">
      <alignment vertical="center"/>
    </xf>
    <xf numFmtId="0" fontId="16" fillId="10" borderId="0" xfId="1" applyFont="1" applyFill="1" applyBorder="1" applyAlignment="1">
      <alignment horizontal="center" vertical="center"/>
    </xf>
    <xf numFmtId="0" fontId="16" fillId="10" borderId="0" xfId="1" applyFont="1" applyFill="1" applyBorder="1" applyAlignment="1">
      <alignment vertical="center"/>
    </xf>
    <xf numFmtId="0" fontId="0" fillId="10" borderId="1" xfId="1" applyFont="1" applyFill="1" applyBorder="1" applyAlignment="1">
      <alignment horizontal="left" vertical="center"/>
    </xf>
    <xf numFmtId="0" fontId="10" fillId="10" borderId="2" xfId="1" applyFont="1" applyFill="1" applyBorder="1" applyAlignment="1">
      <alignment horizontal="left" vertical="center"/>
    </xf>
    <xf numFmtId="0" fontId="10" fillId="10" borderId="3" xfId="1" applyFont="1" applyFill="1" applyBorder="1" applyAlignment="1">
      <alignment horizontal="left" vertical="center"/>
    </xf>
    <xf numFmtId="0" fontId="4" fillId="10" borderId="1" xfId="1" applyFont="1" applyFill="1" applyBorder="1" applyAlignment="1">
      <alignment horizontal="left" vertical="center"/>
    </xf>
    <xf numFmtId="0" fontId="24" fillId="11" borderId="0" xfId="1" applyFont="1" applyFill="1" applyAlignment="1">
      <alignment vertical="center"/>
    </xf>
    <xf numFmtId="0" fontId="68" fillId="11" borderId="0" xfId="1" applyFont="1" applyFill="1" applyBorder="1" applyAlignment="1">
      <alignment horizontal="left" vertical="center"/>
    </xf>
    <xf numFmtId="0" fontId="69" fillId="11" borderId="0" xfId="1" applyFont="1" applyFill="1" applyBorder="1" applyAlignment="1">
      <alignment vertical="center"/>
    </xf>
    <xf numFmtId="0" fontId="69" fillId="11" borderId="0" xfId="1" applyFont="1" applyFill="1" applyBorder="1" applyAlignment="1">
      <alignment horizontal="left" vertical="center"/>
    </xf>
    <xf numFmtId="0" fontId="70" fillId="11" borderId="0" xfId="1" applyFont="1" applyFill="1" applyBorder="1" applyAlignment="1">
      <alignment horizontal="left" vertical="center"/>
    </xf>
    <xf numFmtId="0" fontId="24" fillId="11" borderId="0" xfId="1" applyFont="1" applyFill="1" applyAlignment="1">
      <alignment horizontal="left" vertical="center"/>
    </xf>
    <xf numFmtId="2" fontId="68" fillId="11" borderId="0" xfId="1" applyNumberFormat="1" applyFont="1" applyFill="1" applyBorder="1" applyAlignment="1">
      <alignment horizontal="left" vertical="center"/>
    </xf>
    <xf numFmtId="0" fontId="24" fillId="11" borderId="0" xfId="1" applyFont="1" applyFill="1" applyBorder="1" applyAlignment="1">
      <alignment horizontal="left" vertical="center"/>
    </xf>
    <xf numFmtId="0" fontId="23" fillId="11" borderId="0" xfId="1" applyFont="1" applyFill="1" applyBorder="1" applyAlignment="1">
      <alignment horizontal="left" vertical="center"/>
    </xf>
    <xf numFmtId="2" fontId="23" fillId="11" borderId="0" xfId="1" applyNumberFormat="1" applyFont="1" applyFill="1" applyBorder="1" applyAlignment="1">
      <alignment horizontal="left" vertical="center"/>
    </xf>
    <xf numFmtId="0" fontId="25" fillId="11" borderId="0" xfId="1" applyFont="1" applyFill="1" applyBorder="1" applyAlignment="1">
      <alignment horizontal="left" vertical="center"/>
    </xf>
    <xf numFmtId="0" fontId="25" fillId="11" borderId="0" xfId="1" applyFont="1" applyFill="1" applyBorder="1" applyAlignment="1">
      <alignment vertical="center"/>
    </xf>
    <xf numFmtId="0" fontId="25" fillId="11" borderId="0" xfId="1" applyFont="1" applyFill="1" applyBorder="1" applyAlignment="1">
      <alignment horizontal="right" vertical="center"/>
    </xf>
    <xf numFmtId="0" fontId="26" fillId="10" borderId="18" xfId="1" applyFont="1" applyFill="1" applyBorder="1" applyAlignment="1">
      <alignment horizontal="left" vertical="center"/>
    </xf>
    <xf numFmtId="0" fontId="26" fillId="10" borderId="2" xfId="1" applyFont="1" applyFill="1" applyBorder="1" applyAlignment="1">
      <alignment horizontal="left" vertical="center"/>
    </xf>
    <xf numFmtId="0" fontId="26" fillId="10" borderId="3" xfId="1" applyFont="1" applyFill="1" applyBorder="1" applyAlignment="1">
      <alignment horizontal="left" vertical="center"/>
    </xf>
    <xf numFmtId="0" fontId="20" fillId="10" borderId="32" xfId="1" applyFont="1" applyFill="1" applyBorder="1" applyAlignment="1">
      <alignment vertical="center"/>
    </xf>
    <xf numFmtId="0" fontId="16" fillId="10" borderId="33" xfId="1" applyFont="1" applyFill="1" applyBorder="1" applyAlignment="1">
      <alignment horizontal="center" vertical="center"/>
    </xf>
    <xf numFmtId="0" fontId="16" fillId="10" borderId="34" xfId="1" applyFont="1" applyFill="1" applyBorder="1" applyAlignment="1">
      <alignment horizontal="center" vertical="center"/>
    </xf>
    <xf numFmtId="0" fontId="20" fillId="10" borderId="25" xfId="1" applyFont="1" applyFill="1" applyBorder="1" applyAlignment="1">
      <alignment vertical="center"/>
    </xf>
    <xf numFmtId="0" fontId="16" fillId="10" borderId="25" xfId="1" applyFont="1" applyFill="1" applyBorder="1" applyAlignment="1">
      <alignment vertical="center"/>
    </xf>
    <xf numFmtId="0" fontId="65" fillId="10" borderId="35" xfId="1" applyFont="1" applyFill="1" applyBorder="1" applyAlignment="1" applyProtection="1">
      <alignment horizontal="left" vertical="center" wrapText="1"/>
    </xf>
    <xf numFmtId="0" fontId="16" fillId="10" borderId="33" xfId="1" applyFont="1" applyFill="1" applyBorder="1" applyAlignment="1">
      <alignment vertical="center"/>
    </xf>
    <xf numFmtId="0" fontId="16" fillId="10" borderId="25" xfId="1" applyFont="1" applyFill="1" applyBorder="1" applyAlignment="1">
      <alignment horizontal="left" vertical="center"/>
    </xf>
    <xf numFmtId="0" fontId="16" fillId="10" borderId="26" xfId="1" applyFont="1" applyFill="1" applyBorder="1" applyAlignment="1">
      <alignment horizontal="center" vertical="center"/>
    </xf>
    <xf numFmtId="0" fontId="20" fillId="10" borderId="0" xfId="1" applyFont="1" applyFill="1" applyBorder="1" applyAlignment="1">
      <alignment horizontal="left" vertical="center"/>
    </xf>
    <xf numFmtId="0" fontId="16" fillId="10" borderId="0" xfId="1" applyFont="1" applyFill="1" applyBorder="1" applyAlignment="1">
      <alignment horizontal="left" vertical="center"/>
    </xf>
    <xf numFmtId="0" fontId="16" fillId="10" borderId="26" xfId="1" applyFont="1" applyFill="1" applyBorder="1" applyAlignment="1">
      <alignment horizontal="left" vertical="center"/>
    </xf>
    <xf numFmtId="0" fontId="20" fillId="10" borderId="33" xfId="1" applyFont="1" applyFill="1" applyBorder="1" applyAlignment="1">
      <alignment vertical="center"/>
    </xf>
    <xf numFmtId="0" fontId="16" fillId="10" borderId="34" xfId="1" applyFont="1" applyFill="1" applyBorder="1" applyAlignment="1">
      <alignment vertical="center"/>
    </xf>
    <xf numFmtId="0" fontId="16" fillId="10" borderId="26" xfId="1" applyFont="1" applyFill="1" applyBorder="1" applyAlignment="1">
      <alignment vertical="center"/>
    </xf>
    <xf numFmtId="0" fontId="20" fillId="10" borderId="0" xfId="1" applyFont="1" applyFill="1" applyBorder="1" applyAlignment="1">
      <alignment vertical="center"/>
    </xf>
    <xf numFmtId="0" fontId="16" fillId="10" borderId="26" xfId="1" applyFont="1" applyFill="1" applyBorder="1" applyAlignment="1" applyProtection="1">
      <alignment vertical="center"/>
    </xf>
    <xf numFmtId="0" fontId="16" fillId="12" borderId="25" xfId="1" applyFont="1" applyFill="1" applyBorder="1" applyAlignment="1" applyProtection="1">
      <alignment horizontal="center" vertical="center"/>
      <protection locked="0"/>
    </xf>
    <xf numFmtId="0" fontId="16" fillId="12" borderId="35" xfId="1" applyFont="1" applyFill="1" applyBorder="1" applyAlignment="1" applyProtection="1">
      <alignment horizontal="center" vertical="center"/>
      <protection locked="0"/>
    </xf>
    <xf numFmtId="0" fontId="16" fillId="12" borderId="0" xfId="1" applyFont="1" applyFill="1" applyBorder="1" applyAlignment="1" applyProtection="1">
      <alignment horizontal="center" vertical="center"/>
      <protection locked="0"/>
    </xf>
    <xf numFmtId="0" fontId="16" fillId="12" borderId="26" xfId="1" applyFont="1" applyFill="1" applyBorder="1" applyAlignment="1" applyProtection="1">
      <alignment horizontal="center" vertical="center"/>
      <protection locked="0"/>
    </xf>
    <xf numFmtId="0" fontId="16" fillId="12" borderId="37" xfId="1" applyFont="1" applyFill="1" applyBorder="1" applyAlignment="1" applyProtection="1">
      <alignment horizontal="center" vertical="center"/>
      <protection locked="0"/>
    </xf>
    <xf numFmtId="0" fontId="16" fillId="12" borderId="36" xfId="1" applyFont="1" applyFill="1" applyBorder="1" applyAlignment="1" applyProtection="1">
      <alignment horizontal="center" vertical="center"/>
      <protection locked="0"/>
    </xf>
    <xf numFmtId="0" fontId="16" fillId="12" borderId="20" xfId="1" applyFont="1" applyFill="1" applyBorder="1" applyAlignment="1" applyProtection="1">
      <alignment horizontal="center" vertical="center"/>
      <protection locked="0"/>
    </xf>
    <xf numFmtId="0" fontId="45" fillId="0" borderId="0" xfId="1" applyFont="1" applyBorder="1" applyAlignment="1" applyProtection="1">
      <alignment horizontal="left" vertical="center"/>
      <protection locked="0"/>
    </xf>
    <xf numFmtId="0" fontId="56" fillId="0" borderId="0" xfId="0" applyFont="1" applyBorder="1" applyAlignment="1" applyProtection="1">
      <alignment horizontal="left" vertical="center"/>
      <protection locked="0"/>
    </xf>
    <xf numFmtId="0" fontId="45" fillId="0" borderId="0" xfId="1" applyFont="1" applyBorder="1" applyAlignment="1" applyProtection="1">
      <alignment vertical="center"/>
      <protection locked="0"/>
    </xf>
    <xf numFmtId="0" fontId="56" fillId="0" borderId="0" xfId="0" applyFont="1" applyBorder="1" applyAlignment="1" applyProtection="1">
      <alignment vertical="center"/>
      <protection locked="0"/>
    </xf>
    <xf numFmtId="0" fontId="13" fillId="0" borderId="0" xfId="1" applyFont="1" applyBorder="1" applyAlignment="1" applyProtection="1">
      <alignment vertical="center"/>
      <protection locked="0"/>
    </xf>
    <xf numFmtId="0" fontId="58" fillId="0" borderId="0" xfId="0" applyFont="1" applyBorder="1" applyAlignment="1" applyProtection="1">
      <alignment vertical="center"/>
      <protection locked="0"/>
    </xf>
    <xf numFmtId="0" fontId="2" fillId="0" borderId="0" xfId="1" applyFont="1" applyBorder="1" applyAlignment="1" applyProtection="1">
      <alignment vertical="center"/>
      <protection locked="0"/>
    </xf>
    <xf numFmtId="0" fontId="20" fillId="0" borderId="0" xfId="1" applyFont="1" applyFill="1" applyBorder="1" applyAlignment="1">
      <alignment vertical="center"/>
    </xf>
    <xf numFmtId="0" fontId="15" fillId="4" borderId="0" xfId="1" applyFill="1" applyBorder="1" applyAlignment="1">
      <alignment horizontal="center"/>
    </xf>
    <xf numFmtId="0" fontId="15" fillId="4" borderId="0" xfId="1" applyFill="1" applyBorder="1" applyAlignment="1">
      <alignment horizontal="center" vertical="center"/>
    </xf>
    <xf numFmtId="0" fontId="15" fillId="0" borderId="0" xfId="1" applyBorder="1" applyAlignment="1">
      <alignment horizontal="center" vertical="center"/>
    </xf>
    <xf numFmtId="0" fontId="15" fillId="0" borderId="0" xfId="1" applyBorder="1" applyAlignment="1"/>
    <xf numFmtId="0" fontId="16" fillId="10" borderId="35" xfId="1" applyFont="1" applyFill="1" applyBorder="1" applyAlignment="1">
      <alignment horizontal="center" vertical="center"/>
    </xf>
    <xf numFmtId="0" fontId="16" fillId="12" borderId="21" xfId="1" applyFont="1" applyFill="1" applyBorder="1" applyAlignment="1" applyProtection="1">
      <alignment horizontal="center" vertical="center"/>
      <protection locked="0"/>
    </xf>
    <xf numFmtId="2" fontId="54" fillId="0" borderId="0" xfId="1" applyNumberFormat="1" applyFont="1" applyFill="1" applyBorder="1" applyAlignment="1">
      <alignment horizontal="center" vertical="center"/>
    </xf>
    <xf numFmtId="2" fontId="49" fillId="0" borderId="18" xfId="1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71" fillId="10" borderId="0" xfId="1" applyFont="1" applyFill="1" applyBorder="1" applyAlignment="1">
      <alignment horizontal="center" vertical="center"/>
    </xf>
    <xf numFmtId="0" fontId="71" fillId="10" borderId="0" xfId="1" applyFont="1" applyFill="1" applyBorder="1" applyAlignment="1" applyProtection="1">
      <alignment horizontal="center" vertical="center"/>
      <protection locked="0"/>
    </xf>
    <xf numFmtId="14" fontId="50" fillId="0" borderId="23" xfId="0" applyNumberFormat="1" applyFont="1" applyBorder="1" applyAlignment="1" applyProtection="1">
      <alignment horizontal="left" vertical="center"/>
      <protection locked="0"/>
    </xf>
    <xf numFmtId="0" fontId="50" fillId="0" borderId="23" xfId="0" applyFont="1" applyBorder="1" applyAlignment="1" applyProtection="1">
      <alignment horizontal="left" vertical="center"/>
      <protection locked="0"/>
    </xf>
    <xf numFmtId="2" fontId="45" fillId="6" borderId="1" xfId="1" applyNumberFormat="1" applyFont="1" applyFill="1" applyBorder="1" applyAlignment="1">
      <alignment horizontal="center" vertical="center"/>
    </xf>
    <xf numFmtId="0" fontId="50" fillId="6" borderId="2" xfId="0" applyFont="1" applyFill="1" applyBorder="1" applyAlignment="1">
      <alignment horizontal="center" vertical="center"/>
    </xf>
    <xf numFmtId="0" fontId="50" fillId="6" borderId="3" xfId="0" applyFont="1" applyFill="1" applyBorder="1" applyAlignment="1">
      <alignment horizontal="center" vertical="center"/>
    </xf>
    <xf numFmtId="2" fontId="3" fillId="0" borderId="1" xfId="1" applyNumberFormat="1" applyFont="1" applyFill="1" applyBorder="1" applyAlignment="1">
      <alignment horizontal="right" vertical="center"/>
    </xf>
    <xf numFmtId="2" fontId="3" fillId="0" borderId="2" xfId="1" applyNumberFormat="1" applyFont="1" applyFill="1" applyBorder="1" applyAlignment="1">
      <alignment horizontal="right" vertical="center"/>
    </xf>
    <xf numFmtId="2" fontId="3" fillId="0" borderId="3" xfId="1" applyNumberFormat="1" applyFont="1" applyFill="1" applyBorder="1" applyAlignment="1">
      <alignment horizontal="right" vertical="center"/>
    </xf>
    <xf numFmtId="164" fontId="3" fillId="0" borderId="1" xfId="1" applyNumberFormat="1" applyFont="1" applyFill="1" applyBorder="1" applyAlignment="1">
      <alignment horizontal="right" vertical="center"/>
    </xf>
    <xf numFmtId="164" fontId="3" fillId="0" borderId="2" xfId="1" applyNumberFormat="1" applyFont="1" applyFill="1" applyBorder="1" applyAlignment="1">
      <alignment horizontal="right" vertical="center"/>
    </xf>
    <xf numFmtId="164" fontId="3" fillId="0" borderId="3" xfId="1" applyNumberFormat="1" applyFont="1" applyFill="1" applyBorder="1" applyAlignment="1">
      <alignment horizontal="right" vertical="center"/>
    </xf>
    <xf numFmtId="2" fontId="49" fillId="0" borderId="1" xfId="1" applyNumberFormat="1" applyFont="1" applyBorder="1" applyAlignment="1">
      <alignment vertical="center"/>
    </xf>
    <xf numFmtId="0" fontId="50" fillId="0" borderId="2" xfId="0" applyFont="1" applyBorder="1" applyAlignment="1">
      <alignment vertical="center"/>
    </xf>
    <xf numFmtId="0" fontId="50" fillId="0" borderId="3" xfId="0" applyFont="1" applyBorder="1" applyAlignment="1">
      <alignment vertical="center"/>
    </xf>
    <xf numFmtId="0" fontId="51" fillId="0" borderId="1" xfId="0" applyFont="1" applyBorder="1" applyAlignment="1" applyProtection="1">
      <alignment vertical="center"/>
      <protection locked="0"/>
    </xf>
    <xf numFmtId="0" fontId="51" fillId="0" borderId="2" xfId="0" applyFont="1" applyBorder="1" applyAlignment="1">
      <alignment vertical="center"/>
    </xf>
    <xf numFmtId="0" fontId="51" fillId="0" borderId="3" xfId="0" applyFont="1" applyBorder="1" applyAlignment="1">
      <alignment vertical="center"/>
    </xf>
    <xf numFmtId="0" fontId="49" fillId="0" borderId="23" xfId="1" applyFont="1" applyBorder="1" applyAlignment="1" applyProtection="1">
      <alignment horizontal="center" vertical="center"/>
      <protection locked="0"/>
    </xf>
    <xf numFmtId="0" fontId="50" fillId="0" borderId="23" xfId="0" applyFont="1" applyBorder="1" applyAlignment="1" applyProtection="1">
      <alignment horizontal="center" vertical="center"/>
      <protection locked="0"/>
    </xf>
    <xf numFmtId="0" fontId="49" fillId="6" borderId="18" xfId="1" applyFont="1" applyFill="1" applyBorder="1" applyAlignment="1">
      <alignment horizontal="center" vertical="center"/>
    </xf>
    <xf numFmtId="0" fontId="0" fillId="0" borderId="18" xfId="0" applyBorder="1" applyAlignment="1">
      <alignment vertical="center"/>
    </xf>
    <xf numFmtId="2" fontId="49" fillId="0" borderId="29" xfId="1" applyNumberFormat="1" applyFont="1" applyBorder="1" applyAlignment="1">
      <alignment horizontal="center" vertical="center"/>
    </xf>
    <xf numFmtId="2" fontId="50" fillId="0" borderId="30" xfId="0" applyNumberFormat="1" applyFont="1" applyBorder="1" applyAlignment="1">
      <alignment horizontal="center" vertical="center"/>
    </xf>
    <xf numFmtId="0" fontId="50" fillId="0" borderId="30" xfId="0" applyFont="1" applyBorder="1" applyAlignment="1">
      <alignment horizontal="center" vertical="center"/>
    </xf>
    <xf numFmtId="0" fontId="45" fillId="0" borderId="22" xfId="1" applyFont="1" applyBorder="1" applyAlignment="1">
      <alignment horizontal="center" vertical="center"/>
    </xf>
    <xf numFmtId="0" fontId="50" fillId="0" borderId="28" xfId="0" applyFont="1" applyBorder="1" applyAlignment="1">
      <alignment horizontal="center" vertical="center"/>
    </xf>
    <xf numFmtId="2" fontId="49" fillId="0" borderId="10" xfId="1" applyNumberFormat="1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2" fontId="68" fillId="11" borderId="0" xfId="1" applyNumberFormat="1" applyFont="1" applyFill="1" applyBorder="1" applyAlignment="1">
      <alignment horizontal="center" vertical="center"/>
    </xf>
    <xf numFmtId="2" fontId="50" fillId="0" borderId="11" xfId="0" applyNumberFormat="1" applyFont="1" applyBorder="1" applyAlignment="1">
      <alignment horizontal="center" vertical="center"/>
    </xf>
    <xf numFmtId="0" fontId="50" fillId="0" borderId="27" xfId="0" applyFont="1" applyBorder="1" applyAlignment="1">
      <alignment horizontal="center" vertical="center"/>
    </xf>
    <xf numFmtId="2" fontId="45" fillId="0" borderId="22" xfId="1" applyNumberFormat="1" applyFont="1" applyBorder="1" applyAlignment="1">
      <alignment horizontal="center" vertical="center"/>
    </xf>
    <xf numFmtId="2" fontId="50" fillId="0" borderId="27" xfId="0" applyNumberFormat="1" applyFont="1" applyBorder="1" applyAlignment="1">
      <alignment horizontal="center" vertical="center"/>
    </xf>
    <xf numFmtId="2" fontId="50" fillId="0" borderId="28" xfId="0" applyNumberFormat="1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2" fontId="45" fillId="0" borderId="10" xfId="1" applyNumberFormat="1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/>
    </xf>
    <xf numFmtId="2" fontId="45" fillId="0" borderId="29" xfId="1" applyNumberFormat="1" applyFont="1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0" fillId="0" borderId="30" xfId="0" applyBorder="1" applyAlignment="1">
      <alignment vertical="center"/>
    </xf>
    <xf numFmtId="2" fontId="45" fillId="0" borderId="25" xfId="1" applyNumberFormat="1" applyFont="1" applyBorder="1" applyAlignment="1">
      <alignment horizontal="center" vertical="center"/>
    </xf>
    <xf numFmtId="2" fontId="50" fillId="0" borderId="0" xfId="0" applyNumberFormat="1" applyFont="1" applyBorder="1" applyAlignment="1">
      <alignment horizontal="center" vertical="center"/>
    </xf>
    <xf numFmtId="2" fontId="50" fillId="0" borderId="26" xfId="0" applyNumberFormat="1" applyFont="1" applyBorder="1" applyAlignment="1">
      <alignment horizontal="center" vertical="center"/>
    </xf>
    <xf numFmtId="0" fontId="49" fillId="6" borderId="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49" fillId="0" borderId="1" xfId="1" applyNumberFormat="1" applyFont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20" fillId="0" borderId="39" xfId="1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2" fontId="20" fillId="0" borderId="10" xfId="1" applyNumberFormat="1" applyFont="1" applyBorder="1" applyAlignment="1">
      <alignment horizontal="center" vertical="center"/>
    </xf>
    <xf numFmtId="2" fontId="20" fillId="0" borderId="29" xfId="1" applyNumberFormat="1" applyFont="1" applyBorder="1" applyAlignment="1">
      <alignment horizontal="center" vertical="center"/>
    </xf>
    <xf numFmtId="0" fontId="20" fillId="0" borderId="22" xfId="1" applyFont="1" applyBorder="1" applyAlignment="1">
      <alignment horizontal="center" vertical="center"/>
    </xf>
    <xf numFmtId="2" fontId="16" fillId="0" borderId="10" xfId="1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2" fontId="16" fillId="0" borderId="29" xfId="1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2" fontId="16" fillId="0" borderId="8" xfId="1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" fontId="16" fillId="0" borderId="17" xfId="1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72" fillId="10" borderId="0" xfId="1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2" fontId="20" fillId="0" borderId="8" xfId="1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2" fontId="20" fillId="0" borderId="17" xfId="1" applyNumberFormat="1" applyFont="1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16" fillId="0" borderId="23" xfId="1" applyFont="1" applyBorder="1" applyAlignment="1" applyProtection="1">
      <alignment vertical="center"/>
      <protection locked="0"/>
    </xf>
    <xf numFmtId="0" fontId="0" fillId="0" borderId="23" xfId="0" applyBorder="1" applyAlignment="1" applyProtection="1">
      <alignment vertical="center"/>
      <protection locked="0"/>
    </xf>
    <xf numFmtId="14" fontId="46" fillId="0" borderId="23" xfId="0" applyNumberFormat="1" applyFont="1" applyBorder="1" applyAlignment="1" applyProtection="1">
      <alignment horizontal="left" vertical="center"/>
      <protection locked="0"/>
    </xf>
    <xf numFmtId="0" fontId="46" fillId="0" borderId="23" xfId="0" applyFont="1" applyBorder="1" applyAlignment="1" applyProtection="1">
      <alignment horizontal="left" vertical="center"/>
      <protection locked="0"/>
    </xf>
    <xf numFmtId="0" fontId="16" fillId="0" borderId="1" xfId="1" applyFon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10" fillId="10" borderId="1" xfId="1" applyFont="1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164" fontId="10" fillId="0" borderId="1" xfId="1" applyNumberFormat="1" applyFont="1" applyFill="1" applyBorder="1" applyAlignment="1">
      <alignment horizontal="right" vertical="center"/>
    </xf>
    <xf numFmtId="164" fontId="10" fillId="0" borderId="2" xfId="1" applyNumberFormat="1" applyFont="1" applyFill="1" applyBorder="1" applyAlignment="1">
      <alignment horizontal="right" vertical="center"/>
    </xf>
    <xf numFmtId="164" fontId="10" fillId="0" borderId="3" xfId="1" applyNumberFormat="1" applyFont="1" applyFill="1" applyBorder="1" applyAlignment="1">
      <alignment horizontal="right" vertical="center"/>
    </xf>
    <xf numFmtId="164" fontId="22" fillId="0" borderId="1" xfId="1" applyNumberFormat="1" applyFont="1" applyBorder="1" applyAlignment="1">
      <alignment horizontal="right" vertical="center"/>
    </xf>
    <xf numFmtId="164" fontId="22" fillId="0" borderId="2" xfId="1" applyNumberFormat="1" applyFont="1" applyBorder="1" applyAlignment="1">
      <alignment horizontal="right" vertical="center"/>
    </xf>
    <xf numFmtId="2" fontId="10" fillId="0" borderId="12" xfId="1" applyNumberFormat="1" applyFont="1" applyBorder="1" applyAlignment="1" applyProtection="1">
      <alignment horizontal="right" vertical="center"/>
      <protection locked="0"/>
    </xf>
    <xf numFmtId="0" fontId="0" fillId="0" borderId="14" xfId="0" applyBorder="1" applyAlignment="1" applyProtection="1">
      <alignment horizontal="right" vertical="center"/>
      <protection locked="0"/>
    </xf>
    <xf numFmtId="2" fontId="7" fillId="0" borderId="1" xfId="1" applyNumberFormat="1" applyFont="1" applyFill="1" applyBorder="1" applyAlignment="1" applyProtection="1">
      <alignment horizontal="right"/>
      <protection locked="0"/>
    </xf>
    <xf numFmtId="2" fontId="7" fillId="0" borderId="2" xfId="1" applyNumberFormat="1" applyFont="1" applyFill="1" applyBorder="1" applyAlignment="1" applyProtection="1">
      <alignment horizontal="right"/>
      <protection locked="0"/>
    </xf>
    <xf numFmtId="2" fontId="7" fillId="0" borderId="3" xfId="1" applyNumberFormat="1" applyFont="1" applyFill="1" applyBorder="1" applyAlignment="1" applyProtection="1">
      <alignment horizontal="right"/>
      <protection locked="0"/>
    </xf>
    <xf numFmtId="0" fontId="11" fillId="0" borderId="23" xfId="0" applyFont="1" applyBorder="1" applyAlignment="1" applyProtection="1">
      <alignment vertical="center"/>
      <protection locked="0"/>
    </xf>
    <xf numFmtId="0" fontId="0" fillId="0" borderId="23" xfId="0" applyBorder="1" applyAlignment="1">
      <alignment vertical="center"/>
    </xf>
    <xf numFmtId="164" fontId="10" fillId="0" borderId="1" xfId="1" applyNumberFormat="1" applyFont="1" applyBorder="1" applyAlignment="1">
      <alignment horizontal="right" vertical="center"/>
    </xf>
    <xf numFmtId="0" fontId="0" fillId="0" borderId="2" xfId="0" applyBorder="1" applyAlignment="1">
      <alignment vertical="center"/>
    </xf>
    <xf numFmtId="2" fontId="10" fillId="0" borderId="1" xfId="1" applyNumberFormat="1" applyFont="1" applyFill="1" applyBorder="1" applyAlignment="1">
      <alignment horizontal="right" vertical="center"/>
    </xf>
    <xf numFmtId="2" fontId="10" fillId="0" borderId="2" xfId="1" applyNumberFormat="1" applyFont="1" applyFill="1" applyBorder="1" applyAlignment="1">
      <alignment horizontal="right" vertical="center"/>
    </xf>
    <xf numFmtId="2" fontId="10" fillId="0" borderId="3" xfId="1" applyNumberFormat="1" applyFont="1" applyFill="1" applyBorder="1" applyAlignment="1">
      <alignment horizontal="right" vertical="center"/>
    </xf>
    <xf numFmtId="2" fontId="13" fillId="10" borderId="1" xfId="1" applyNumberFormat="1" applyFont="1" applyFill="1" applyBorder="1" applyAlignment="1">
      <alignment horizontal="center" vertical="center"/>
    </xf>
    <xf numFmtId="2" fontId="10" fillId="0" borderId="6" xfId="1" applyNumberFormat="1" applyFont="1" applyBorder="1" applyAlignment="1" applyProtection="1">
      <alignment horizontal="right" vertical="center"/>
      <protection locked="0"/>
    </xf>
    <xf numFmtId="0" fontId="0" fillId="0" borderId="7" xfId="0" applyBorder="1" applyAlignment="1" applyProtection="1">
      <alignment horizontal="right" vertical="center"/>
      <protection locked="0"/>
    </xf>
    <xf numFmtId="2" fontId="10" fillId="0" borderId="10" xfId="1" applyNumberFormat="1" applyFont="1" applyBorder="1" applyAlignment="1" applyProtection="1">
      <alignment horizontal="right" vertical="center"/>
      <protection locked="0"/>
    </xf>
    <xf numFmtId="0" fontId="0" fillId="0" borderId="11" xfId="0" applyBorder="1" applyAlignment="1" applyProtection="1">
      <alignment horizontal="right" vertical="center"/>
      <protection locked="0"/>
    </xf>
    <xf numFmtId="2" fontId="6" fillId="0" borderId="6" xfId="1" applyNumberFormat="1" applyFont="1" applyBorder="1" applyAlignment="1" applyProtection="1">
      <alignment horizontal="right" vertical="center"/>
      <protection locked="0"/>
    </xf>
    <xf numFmtId="0" fontId="0" fillId="0" borderId="5" xfId="0" applyBorder="1" applyAlignment="1" applyProtection="1">
      <alignment horizontal="right" vertical="center"/>
      <protection locked="0"/>
    </xf>
    <xf numFmtId="2" fontId="7" fillId="0" borderId="10" xfId="1" applyNumberFormat="1" applyFont="1" applyBorder="1" applyAlignment="1" applyProtection="1">
      <alignment horizontal="right" vertical="center"/>
      <protection locked="0"/>
    </xf>
    <xf numFmtId="0" fontId="0" fillId="0" borderId="9" xfId="0" applyBorder="1" applyAlignment="1" applyProtection="1">
      <alignment horizontal="right" vertical="center"/>
      <protection locked="0"/>
    </xf>
    <xf numFmtId="2" fontId="5" fillId="0" borderId="12" xfId="1" applyNumberFormat="1" applyFont="1" applyBorder="1" applyAlignment="1" applyProtection="1">
      <alignment horizontal="right" vertical="center"/>
      <protection locked="0"/>
    </xf>
    <xf numFmtId="0" fontId="0" fillId="0" borderId="13" xfId="0" applyBorder="1" applyAlignment="1" applyProtection="1">
      <alignment horizontal="right" vertical="center"/>
      <protection locked="0"/>
    </xf>
    <xf numFmtId="164" fontId="10" fillId="0" borderId="2" xfId="1" applyNumberFormat="1" applyFont="1" applyBorder="1" applyAlignment="1">
      <alignment horizontal="right" vertical="center"/>
    </xf>
    <xf numFmtId="164" fontId="16" fillId="0" borderId="1" xfId="1" applyNumberFormat="1" applyFont="1" applyBorder="1" applyAlignment="1">
      <alignment horizontal="right" vertical="center"/>
    </xf>
    <xf numFmtId="164" fontId="16" fillId="0" borderId="2" xfId="1" applyNumberFormat="1" applyFont="1" applyBorder="1" applyAlignment="1">
      <alignment horizontal="right" vertical="center"/>
    </xf>
    <xf numFmtId="0" fontId="26" fillId="10" borderId="25" xfId="1" applyFont="1" applyFill="1" applyBorder="1" applyAlignment="1">
      <alignment horizontal="left" vertical="center"/>
    </xf>
    <xf numFmtId="0" fontId="11" fillId="10" borderId="0" xfId="0" applyFont="1" applyFill="1" applyAlignment="1">
      <alignment vertical="center"/>
    </xf>
    <xf numFmtId="0" fontId="11" fillId="10" borderId="26" xfId="0" applyFont="1" applyFill="1" applyBorder="1" applyAlignment="1">
      <alignment vertical="center"/>
    </xf>
    <xf numFmtId="3" fontId="43" fillId="0" borderId="1" xfId="1" applyNumberFormat="1" applyFont="1" applyBorder="1" applyAlignment="1">
      <alignment horizontal="center" vertical="center"/>
    </xf>
    <xf numFmtId="3" fontId="0" fillId="0" borderId="3" xfId="0" applyNumberFormat="1" applyBorder="1" applyAlignment="1">
      <alignment vertical="center"/>
    </xf>
    <xf numFmtId="0" fontId="26" fillId="10" borderId="1" xfId="1" applyFont="1" applyFill="1" applyBorder="1" applyAlignment="1">
      <alignment horizontal="left" vertical="center"/>
    </xf>
    <xf numFmtId="0" fontId="11" fillId="10" borderId="2" xfId="0" applyFont="1" applyFill="1" applyBorder="1" applyAlignment="1">
      <alignment vertical="center"/>
    </xf>
    <xf numFmtId="2" fontId="12" fillId="11" borderId="0" xfId="1" applyNumberFormat="1" applyFont="1" applyFill="1" applyBorder="1" applyAlignment="1">
      <alignment horizontal="center" vertical="center"/>
    </xf>
    <xf numFmtId="165" fontId="19" fillId="0" borderId="0" xfId="1" applyNumberFormat="1" applyFont="1" applyFill="1" applyBorder="1" applyAlignment="1">
      <alignment horizontal="center" vertical="center"/>
    </xf>
    <xf numFmtId="0" fontId="72" fillId="10" borderId="0" xfId="1" applyFont="1" applyFill="1" applyBorder="1" applyAlignment="1">
      <alignment horizontal="center" vertical="center" wrapText="1"/>
    </xf>
    <xf numFmtId="0" fontId="20" fillId="10" borderId="25" xfId="1" applyFont="1" applyFill="1" applyBorder="1" applyAlignment="1">
      <alignment horizontal="left" vertical="top" wrapText="1"/>
    </xf>
    <xf numFmtId="0" fontId="0" fillId="0" borderId="0" xfId="0" applyBorder="1" applyAlignment="1"/>
    <xf numFmtId="0" fontId="0" fillId="0" borderId="26" xfId="0" applyBorder="1" applyAlignment="1"/>
    <xf numFmtId="0" fontId="23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23" fillId="0" borderId="0" xfId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20" fillId="0" borderId="0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2" fontId="16" fillId="0" borderId="1" xfId="1" applyNumberFormat="1" applyFon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16" fillId="0" borderId="2" xfId="1" applyFont="1" applyBorder="1" applyAlignment="1">
      <alignment horizontal="center" vertical="center"/>
    </xf>
    <xf numFmtId="0" fontId="18" fillId="10" borderId="0" xfId="1" applyFont="1" applyFill="1" applyBorder="1" applyAlignment="1">
      <alignment horizontal="center" vertical="center"/>
    </xf>
    <xf numFmtId="2" fontId="19" fillId="0" borderId="0" xfId="1" applyNumberFormat="1" applyFont="1" applyFill="1" applyBorder="1" applyAlignment="1">
      <alignment horizontal="center" vertical="center"/>
    </xf>
    <xf numFmtId="0" fontId="22" fillId="0" borderId="15" xfId="1" applyFont="1" applyBorder="1" applyAlignment="1">
      <alignment horizontal="center" vertical="center"/>
    </xf>
    <xf numFmtId="0" fontId="22" fillId="0" borderId="2" xfId="1" applyFont="1" applyBorder="1" applyAlignment="1">
      <alignment horizontal="center" vertical="center"/>
    </xf>
    <xf numFmtId="0" fontId="22" fillId="0" borderId="16" xfId="1" applyFont="1" applyBorder="1" applyAlignment="1">
      <alignment horizontal="center" vertical="center"/>
    </xf>
    <xf numFmtId="0" fontId="22" fillId="0" borderId="3" xfId="1" applyFont="1" applyBorder="1" applyAlignment="1">
      <alignment horizontal="center" vertical="center"/>
    </xf>
    <xf numFmtId="0" fontId="22" fillId="0" borderId="1" xfId="1" applyFont="1" applyBorder="1" applyAlignment="1">
      <alignment horizontal="center" vertical="center"/>
    </xf>
    <xf numFmtId="2" fontId="10" fillId="0" borderId="1" xfId="1" applyNumberFormat="1" applyFont="1" applyBorder="1" applyAlignment="1" applyProtection="1">
      <alignment horizontal="right" vertical="center"/>
      <protection locked="0"/>
    </xf>
    <xf numFmtId="0" fontId="0" fillId="0" borderId="2" xfId="0" applyBorder="1" applyAlignment="1" applyProtection="1">
      <alignment horizontal="right" vertical="center"/>
      <protection locked="0"/>
    </xf>
    <xf numFmtId="0" fontId="0" fillId="0" borderId="3" xfId="0" applyBorder="1" applyAlignment="1" applyProtection="1">
      <alignment horizontal="right" vertical="center"/>
      <protection locked="0"/>
    </xf>
    <xf numFmtId="2" fontId="34" fillId="0" borderId="18" xfId="1" applyNumberFormat="1" applyFont="1" applyBorder="1" applyAlignment="1">
      <alignment horizontal="center" vertical="center" wrapText="1"/>
    </xf>
    <xf numFmtId="2" fontId="34" fillId="0" borderId="1" xfId="1" applyNumberFormat="1" applyFont="1" applyBorder="1" applyAlignment="1">
      <alignment horizontal="center" vertical="center" wrapText="1"/>
    </xf>
    <xf numFmtId="2" fontId="34" fillId="0" borderId="2" xfId="1" applyNumberFormat="1" applyFont="1" applyBorder="1" applyAlignment="1">
      <alignment horizontal="center" vertical="center" wrapText="1"/>
    </xf>
    <xf numFmtId="2" fontId="34" fillId="0" borderId="3" xfId="1" applyNumberFormat="1" applyFont="1" applyBorder="1" applyAlignment="1">
      <alignment horizontal="center" vertical="center" wrapText="1"/>
    </xf>
    <xf numFmtId="0" fontId="59" fillId="8" borderId="0" xfId="5" applyFont="1" applyFill="1" applyAlignment="1">
      <alignment horizontal="center"/>
    </xf>
  </cellXfs>
  <cellStyles count="8">
    <cellStyle name="Lien hypertexte" xfId="6" builtinId="8"/>
    <cellStyle name="Lien hypertexte 2" xfId="7" xr:uid="{00000000-0005-0000-0000-000001000000}"/>
    <cellStyle name="Normal" xfId="0" builtinId="0"/>
    <cellStyle name="Normal 2" xfId="1" xr:uid="{00000000-0005-0000-0000-000003000000}"/>
    <cellStyle name="Normal 2 2" xfId="2" xr:uid="{00000000-0005-0000-0000-000004000000}"/>
    <cellStyle name="Normal 2 3" xfId="3" xr:uid="{00000000-0005-0000-0000-000005000000}"/>
    <cellStyle name="Normal 3" xfId="4" xr:uid="{00000000-0005-0000-0000-000006000000}"/>
    <cellStyle name="Normal 3 3" xfId="5" xr:uid="{00000000-0005-0000-0000-000007000000}"/>
  </cellStyles>
  <dxfs count="0"/>
  <tableStyles count="0" defaultTableStyle="TableStyleMedium9" defaultPivotStyle="PivotStyleLight16"/>
  <colors>
    <mruColors>
      <color rgb="FFCBC0AD"/>
      <color rgb="FF994F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1" i="0" baseline="0">
                <a:effectLst/>
              </a:rPr>
              <a:t>Reverberation time (Rt) </a:t>
            </a:r>
            <a:endParaRPr lang="fr-FR">
              <a:effectLst/>
            </a:endParaRPr>
          </a:p>
          <a:p>
            <a:pPr>
              <a:defRPr/>
            </a:pPr>
            <a:r>
              <a:rPr lang="fr-FR" sz="1800" b="1" i="0" baseline="0">
                <a:effectLst/>
              </a:rPr>
              <a:t>Figures below are indicative</a:t>
            </a:r>
            <a:endParaRPr lang="fr-FR">
              <a:effectLst/>
            </a:endParaRPr>
          </a:p>
        </c:rich>
      </c:tx>
      <c:layout>
        <c:manualLayout>
          <c:xMode val="edge"/>
          <c:yMode val="edge"/>
          <c:x val="0.29247566377923873"/>
          <c:y val="8.907651401673306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'Doc client'!$D$58</c:f>
              <c:strCache>
                <c:ptCount val="1"/>
                <c:pt idx="0">
                  <c:v>Rt without treatment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Datas!$I$8:$N$8</c:f>
              <c:numCache>
                <c:formatCode>General</c:formatCode>
                <c:ptCount val="6"/>
                <c:pt idx="0">
                  <c:v>125</c:v>
                </c:pt>
                <c:pt idx="1">
                  <c:v>250</c:v>
                </c:pt>
                <c:pt idx="2">
                  <c:v>500</c:v>
                </c:pt>
                <c:pt idx="3">
                  <c:v>1000</c:v>
                </c:pt>
                <c:pt idx="4">
                  <c:v>2000</c:v>
                </c:pt>
                <c:pt idx="5">
                  <c:v>4000</c:v>
                </c:pt>
              </c:numCache>
            </c:numRef>
          </c:cat>
          <c:val>
            <c:numRef>
              <c:f>Datas!$I$9:$N$9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E-4CA8-809B-909809E739FE}"/>
            </c:ext>
          </c:extLst>
        </c:ser>
        <c:ser>
          <c:idx val="3"/>
          <c:order val="1"/>
          <c:tx>
            <c:strRef>
              <c:f>Datas!$H$10</c:f>
              <c:strCache>
                <c:ptCount val="1"/>
                <c:pt idx="0">
                  <c:v>Tr avec traitement</c:v>
                </c:pt>
              </c:strCache>
            </c:strRef>
          </c:tx>
          <c:spPr>
            <a:ln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Datas!$I$8:$N$8</c:f>
              <c:numCache>
                <c:formatCode>General</c:formatCode>
                <c:ptCount val="6"/>
                <c:pt idx="0">
                  <c:v>125</c:v>
                </c:pt>
                <c:pt idx="1">
                  <c:v>250</c:v>
                </c:pt>
                <c:pt idx="2">
                  <c:v>500</c:v>
                </c:pt>
                <c:pt idx="3">
                  <c:v>1000</c:v>
                </c:pt>
                <c:pt idx="4">
                  <c:v>2000</c:v>
                </c:pt>
                <c:pt idx="5">
                  <c:v>4000</c:v>
                </c:pt>
              </c:numCache>
            </c:numRef>
          </c:cat>
          <c:val>
            <c:numRef>
              <c:f>Datas!$I$10:$N$10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E-4CA8-809B-909809E739FE}"/>
            </c:ext>
          </c:extLst>
        </c:ser>
        <c:ser>
          <c:idx val="0"/>
          <c:order val="2"/>
          <c:tx>
            <c:strRef>
              <c:f>'Notice de calcul'!$D$77</c:f>
              <c:strCache>
                <c:ptCount val="1"/>
                <c:pt idx="0">
                  <c:v>Rt without treatment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Datas!$I$8:$N$8</c:f>
              <c:numCache>
                <c:formatCode>General</c:formatCode>
                <c:ptCount val="6"/>
                <c:pt idx="0">
                  <c:v>125</c:v>
                </c:pt>
                <c:pt idx="1">
                  <c:v>250</c:v>
                </c:pt>
                <c:pt idx="2">
                  <c:v>500</c:v>
                </c:pt>
                <c:pt idx="3">
                  <c:v>1000</c:v>
                </c:pt>
                <c:pt idx="4">
                  <c:v>2000</c:v>
                </c:pt>
                <c:pt idx="5">
                  <c:v>4000</c:v>
                </c:pt>
              </c:numCache>
            </c:numRef>
          </c:cat>
          <c:val>
            <c:numRef>
              <c:f>Datas!$I$9:$N$9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3E-4CA8-809B-909809E739FE}"/>
            </c:ext>
          </c:extLst>
        </c:ser>
        <c:ser>
          <c:idx val="1"/>
          <c:order val="3"/>
          <c:tx>
            <c:strRef>
              <c:f>Datas!$H$10</c:f>
              <c:strCache>
                <c:ptCount val="1"/>
                <c:pt idx="0">
                  <c:v>Tr avec traitement</c:v>
                </c:pt>
              </c:strCache>
            </c:strRef>
          </c:tx>
          <c:spPr>
            <a:ln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Datas!$I$8:$N$8</c:f>
              <c:numCache>
                <c:formatCode>General</c:formatCode>
                <c:ptCount val="6"/>
                <c:pt idx="0">
                  <c:v>125</c:v>
                </c:pt>
                <c:pt idx="1">
                  <c:v>250</c:v>
                </c:pt>
                <c:pt idx="2">
                  <c:v>500</c:v>
                </c:pt>
                <c:pt idx="3">
                  <c:v>1000</c:v>
                </c:pt>
                <c:pt idx="4">
                  <c:v>2000</c:v>
                </c:pt>
                <c:pt idx="5">
                  <c:v>4000</c:v>
                </c:pt>
              </c:numCache>
            </c:numRef>
          </c:cat>
          <c:val>
            <c:numRef>
              <c:f>Datas!$I$10:$N$10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3E-4CA8-809B-909809E73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697616"/>
        <c:axId val="187285768"/>
      </c:lineChart>
      <c:catAx>
        <c:axId val="50869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87285768"/>
        <c:crosses val="autoZero"/>
        <c:auto val="1"/>
        <c:lblAlgn val="ctr"/>
        <c:lblOffset val="100"/>
        <c:noMultiLvlLbl val="0"/>
      </c:catAx>
      <c:valAx>
        <c:axId val="187285768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0" sourceLinked="1"/>
        <c:majorTickMark val="none"/>
        <c:minorTickMark val="none"/>
        <c:tickLblPos val="nextTo"/>
        <c:crossAx val="508697616"/>
        <c:crosses val="autoZero"/>
        <c:crossBetween val="between"/>
      </c:valAx>
    </c:plotArea>
    <c:legend>
      <c:legendPos val="b"/>
      <c:legendEntry>
        <c:idx val="1"/>
        <c:delete val="1"/>
      </c:legendEntry>
      <c:legendEntry>
        <c:idx val="2"/>
        <c:delete val="1"/>
      </c:legendEntry>
      <c:overlay val="0"/>
    </c:legend>
    <c:plotVisOnly val="1"/>
    <c:dispBlanksAs val="zero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1" i="0" baseline="0">
                <a:effectLst/>
              </a:rPr>
              <a:t>Reverberation time (Rt) </a:t>
            </a:r>
            <a:endParaRPr lang="fr-FR">
              <a:effectLst/>
            </a:endParaRPr>
          </a:p>
          <a:p>
            <a:pPr>
              <a:defRPr/>
            </a:pPr>
            <a:r>
              <a:rPr lang="fr-FR" sz="1800" b="1" i="0" baseline="0">
                <a:effectLst/>
              </a:rPr>
              <a:t>Figures below are indicative</a:t>
            </a:r>
            <a:endParaRPr lang="fr-FR">
              <a:effectLst/>
            </a:endParaRPr>
          </a:p>
        </c:rich>
      </c:tx>
      <c:layout>
        <c:manualLayout>
          <c:xMode val="edge"/>
          <c:yMode val="edge"/>
          <c:x val="0.29247566377923873"/>
          <c:y val="8.907651401673306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'Notice de calcul'!$D$77</c:f>
              <c:strCache>
                <c:ptCount val="1"/>
                <c:pt idx="0">
                  <c:v>Rt without treatment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Datas!$I$8:$N$8</c:f>
              <c:numCache>
                <c:formatCode>General</c:formatCode>
                <c:ptCount val="6"/>
                <c:pt idx="0">
                  <c:v>125</c:v>
                </c:pt>
                <c:pt idx="1">
                  <c:v>250</c:v>
                </c:pt>
                <c:pt idx="2">
                  <c:v>500</c:v>
                </c:pt>
                <c:pt idx="3">
                  <c:v>1000</c:v>
                </c:pt>
                <c:pt idx="4">
                  <c:v>2000</c:v>
                </c:pt>
                <c:pt idx="5">
                  <c:v>4000</c:v>
                </c:pt>
              </c:numCache>
            </c:numRef>
          </c:cat>
          <c:val>
            <c:numRef>
              <c:f>Datas!$I$9:$N$9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C-488B-A919-53052BDE1CEF}"/>
            </c:ext>
          </c:extLst>
        </c:ser>
        <c:ser>
          <c:idx val="1"/>
          <c:order val="1"/>
          <c:tx>
            <c:strRef>
              <c:f>Datas!$H$10</c:f>
              <c:strCache>
                <c:ptCount val="1"/>
                <c:pt idx="0">
                  <c:v>Tr avec traitement</c:v>
                </c:pt>
              </c:strCache>
            </c:strRef>
          </c:tx>
          <c:spPr>
            <a:ln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Datas!$I$8:$N$8</c:f>
              <c:numCache>
                <c:formatCode>General</c:formatCode>
                <c:ptCount val="6"/>
                <c:pt idx="0">
                  <c:v>125</c:v>
                </c:pt>
                <c:pt idx="1">
                  <c:v>250</c:v>
                </c:pt>
                <c:pt idx="2">
                  <c:v>500</c:v>
                </c:pt>
                <c:pt idx="3">
                  <c:v>1000</c:v>
                </c:pt>
                <c:pt idx="4">
                  <c:v>2000</c:v>
                </c:pt>
                <c:pt idx="5">
                  <c:v>4000</c:v>
                </c:pt>
              </c:numCache>
            </c:numRef>
          </c:cat>
          <c:val>
            <c:numRef>
              <c:f>Datas!$I$10:$N$10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C-488B-A919-53052BDE1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145280"/>
        <c:axId val="509393256"/>
      </c:lineChart>
      <c:catAx>
        <c:axId val="50814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393256"/>
        <c:crosses val="autoZero"/>
        <c:auto val="1"/>
        <c:lblAlgn val="ctr"/>
        <c:lblOffset val="100"/>
        <c:noMultiLvlLbl val="0"/>
      </c:catAx>
      <c:valAx>
        <c:axId val="509393256"/>
        <c:scaling>
          <c:orientation val="minMax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0.00" sourceLinked="1"/>
        <c:majorTickMark val="none"/>
        <c:minorTickMark val="none"/>
        <c:tickLblPos val="nextTo"/>
        <c:crossAx val="5081452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Temps</a:t>
            </a:r>
            <a:r>
              <a:rPr lang="fr-FR" baseline="0"/>
              <a:t> de réverbération</a:t>
            </a:r>
            <a:endParaRPr lang="fr-FR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Calcul!$D$251</c:f>
              <c:strCache>
                <c:ptCount val="1"/>
                <c:pt idx="0">
                  <c:v>Tr sans traitement</c:v>
                </c:pt>
              </c:strCache>
            </c:strRef>
          </c:tx>
          <c:marker>
            <c:symbol val="none"/>
          </c:marker>
          <c:cat>
            <c:numRef>
              <c:f>Calcul!$E$237:$J$237</c:f>
              <c:numCache>
                <c:formatCode>General</c:formatCode>
                <c:ptCount val="6"/>
                <c:pt idx="0">
                  <c:v>125</c:v>
                </c:pt>
                <c:pt idx="1">
                  <c:v>250</c:v>
                </c:pt>
                <c:pt idx="2">
                  <c:v>500</c:v>
                </c:pt>
                <c:pt idx="3">
                  <c:v>1000</c:v>
                </c:pt>
                <c:pt idx="4">
                  <c:v>2000</c:v>
                </c:pt>
                <c:pt idx="5">
                  <c:v>4000</c:v>
                </c:pt>
              </c:numCache>
            </c:numRef>
          </c:cat>
          <c:val>
            <c:numRef>
              <c:f>Calcul!$E$251:$J$251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8-47B5-A391-CD61D92D3847}"/>
            </c:ext>
          </c:extLst>
        </c:ser>
        <c:ser>
          <c:idx val="1"/>
          <c:order val="1"/>
          <c:tx>
            <c:strRef>
              <c:f>Calcul!$D$256</c:f>
              <c:strCache>
                <c:ptCount val="1"/>
                <c:pt idx="0">
                  <c:v>Tr avec traitement</c:v>
                </c:pt>
              </c:strCache>
            </c:strRef>
          </c:tx>
          <c:marker>
            <c:symbol val="none"/>
          </c:marker>
          <c:val>
            <c:numRef>
              <c:f>Calcul!$E$256:$J$256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8-47B5-A391-CD61D92D3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435408"/>
        <c:axId val="509413264"/>
      </c:lineChart>
      <c:catAx>
        <c:axId val="50943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413264"/>
        <c:crosses val="autoZero"/>
        <c:auto val="1"/>
        <c:lblAlgn val="ctr"/>
        <c:lblOffset val="100"/>
        <c:noMultiLvlLbl val="0"/>
      </c:catAx>
      <c:valAx>
        <c:axId val="50941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Tr</a:t>
                </a:r>
                <a:r>
                  <a:rPr lang="fr-FR" baseline="0"/>
                  <a:t>  (s)</a:t>
                </a:r>
                <a:endParaRPr lang="fr-FR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50943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gif"/><Relationship Id="rId13" Type="http://schemas.openxmlformats.org/officeDocument/2006/relationships/image" Target="../media/image12.gif"/><Relationship Id="rId18" Type="http://schemas.openxmlformats.org/officeDocument/2006/relationships/image" Target="../media/image17.png"/><Relationship Id="rId3" Type="http://schemas.openxmlformats.org/officeDocument/2006/relationships/image" Target="../media/image2.gif"/><Relationship Id="rId21" Type="http://schemas.openxmlformats.org/officeDocument/2006/relationships/image" Target="../media/image20.jpeg"/><Relationship Id="rId7" Type="http://schemas.openxmlformats.org/officeDocument/2006/relationships/image" Target="../media/image6.gif"/><Relationship Id="rId12" Type="http://schemas.openxmlformats.org/officeDocument/2006/relationships/image" Target="../media/image11.gif"/><Relationship Id="rId17" Type="http://schemas.openxmlformats.org/officeDocument/2006/relationships/image" Target="../media/image16.png"/><Relationship Id="rId2" Type="http://schemas.openxmlformats.org/officeDocument/2006/relationships/image" Target="../media/image1.gif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chart" Target="../charts/chart1.xml"/><Relationship Id="rId6" Type="http://schemas.openxmlformats.org/officeDocument/2006/relationships/image" Target="../media/image5.gif"/><Relationship Id="rId11" Type="http://schemas.openxmlformats.org/officeDocument/2006/relationships/image" Target="../media/image10.gif"/><Relationship Id="rId5" Type="http://schemas.openxmlformats.org/officeDocument/2006/relationships/image" Target="../media/image4.gif"/><Relationship Id="rId15" Type="http://schemas.openxmlformats.org/officeDocument/2006/relationships/image" Target="../media/image14.png"/><Relationship Id="rId10" Type="http://schemas.openxmlformats.org/officeDocument/2006/relationships/image" Target="../media/image9.gif"/><Relationship Id="rId19" Type="http://schemas.openxmlformats.org/officeDocument/2006/relationships/image" Target="../media/image18.gif"/><Relationship Id="rId4" Type="http://schemas.openxmlformats.org/officeDocument/2006/relationships/image" Target="../media/image3.png"/><Relationship Id="rId9" Type="http://schemas.openxmlformats.org/officeDocument/2006/relationships/image" Target="../media/image8.gif"/><Relationship Id="rId14" Type="http://schemas.openxmlformats.org/officeDocument/2006/relationships/image" Target="../media/image13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72031</xdr:colOff>
      <xdr:row>64</xdr:row>
      <xdr:rowOff>26457</xdr:rowOff>
    </xdr:from>
    <xdr:to>
      <xdr:col>30</xdr:col>
      <xdr:colOff>111125</xdr:colOff>
      <xdr:row>85</xdr:row>
      <xdr:rowOff>118532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28574</xdr:colOff>
      <xdr:row>40</xdr:row>
      <xdr:rowOff>122809</xdr:rowOff>
    </xdr:from>
    <xdr:to>
      <xdr:col>9</xdr:col>
      <xdr:colOff>412749</xdr:colOff>
      <xdr:row>42</xdr:row>
      <xdr:rowOff>85768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5174" y="6390259"/>
          <a:ext cx="384175" cy="382059"/>
        </a:xfrm>
        <a:prstGeom prst="rect">
          <a:avLst/>
        </a:prstGeom>
      </xdr:spPr>
    </xdr:pic>
    <xdr:clientData/>
  </xdr:twoCellAnchor>
  <xdr:twoCellAnchor>
    <xdr:from>
      <xdr:col>9</xdr:col>
      <xdr:colOff>11640</xdr:colOff>
      <xdr:row>38</xdr:row>
      <xdr:rowOff>168319</xdr:rowOff>
    </xdr:from>
    <xdr:to>
      <xdr:col>9</xdr:col>
      <xdr:colOff>644893</xdr:colOff>
      <xdr:row>40</xdr:row>
      <xdr:rowOff>6350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88240" y="6016669"/>
          <a:ext cx="633253" cy="257131"/>
        </a:xfrm>
        <a:prstGeom prst="rect">
          <a:avLst/>
        </a:prstGeom>
      </xdr:spPr>
    </xdr:pic>
    <xdr:clientData/>
  </xdr:twoCellAnchor>
  <xdr:twoCellAnchor>
    <xdr:from>
      <xdr:col>1</xdr:col>
      <xdr:colOff>110137</xdr:colOff>
      <xdr:row>36</xdr:row>
      <xdr:rowOff>84624</xdr:rowOff>
    </xdr:from>
    <xdr:to>
      <xdr:col>27</xdr:col>
      <xdr:colOff>111874</xdr:colOff>
      <xdr:row>50</xdr:row>
      <xdr:rowOff>149602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18168" y="5242505"/>
          <a:ext cx="9025647" cy="3143421"/>
          <a:chOff x="168691" y="5243903"/>
          <a:chExt cx="7195119" cy="3034232"/>
        </a:xfrm>
      </xdr:grpSpPr>
      <xdr:pic>
        <xdr:nvPicPr>
          <xdr:cNvPr id="6" name="Imag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40554" y="6987921"/>
            <a:ext cx="217328" cy="367997"/>
          </a:xfrm>
          <a:prstGeom prst="rect">
            <a:avLst/>
          </a:prstGeom>
        </xdr:spPr>
      </xdr:pic>
      <xdr:pic>
        <xdr:nvPicPr>
          <xdr:cNvPr id="7" name="Imag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821241" y="5354446"/>
            <a:ext cx="542569" cy="330835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6917418" y="5757734"/>
            <a:ext cx="359763" cy="517841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983305" y="6390975"/>
            <a:ext cx="245888" cy="528054"/>
          </a:xfrm>
          <a:prstGeom prst="rect">
            <a:avLst/>
          </a:prstGeom>
        </xdr:spPr>
      </xdr:pic>
      <xdr:pic>
        <xdr:nvPicPr>
          <xdr:cNvPr id="10" name="Imag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4915064" y="5319752"/>
            <a:ext cx="295339" cy="380438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4856160" y="5874969"/>
            <a:ext cx="568109" cy="241446"/>
          </a:xfrm>
          <a:prstGeom prst="rect">
            <a:avLst/>
          </a:prstGeom>
        </xdr:spPr>
      </xdr:pic>
      <xdr:pic>
        <xdr:nvPicPr>
          <xdr:cNvPr id="14" name="Imag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632549" y="7402845"/>
            <a:ext cx="262206" cy="402351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2610448" y="6600622"/>
            <a:ext cx="262183" cy="317379"/>
          </a:xfrm>
          <a:prstGeom prst="rect">
            <a:avLst/>
          </a:prstGeom>
        </xdr:spPr>
      </xdr:pic>
      <xdr:pic>
        <xdr:nvPicPr>
          <xdr:cNvPr id="21" name="Imag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2638135" y="5362766"/>
            <a:ext cx="271370" cy="259034"/>
          </a:xfrm>
          <a:prstGeom prst="rect">
            <a:avLst/>
          </a:prstGeom>
        </xdr:spPr>
      </xdr:pic>
      <xdr:pic>
        <xdr:nvPicPr>
          <xdr:cNvPr id="22" name="Image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93566" y="5243903"/>
            <a:ext cx="483672" cy="563452"/>
          </a:xfrm>
          <a:prstGeom prst="rect">
            <a:avLst/>
          </a:prstGeom>
        </xdr:spPr>
      </xdr:pic>
      <xdr:pic>
        <xdr:nvPicPr>
          <xdr:cNvPr id="23" name="Image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68691" y="6798675"/>
            <a:ext cx="515276" cy="418819"/>
          </a:xfrm>
          <a:prstGeom prst="rect">
            <a:avLst/>
          </a:prstGeom>
        </xdr:spPr>
      </xdr:pic>
      <xdr:pic>
        <xdr:nvPicPr>
          <xdr:cNvPr id="24" name="Imag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2622597" y="7892013"/>
            <a:ext cx="301658" cy="386122"/>
          </a:xfrm>
          <a:prstGeom prst="rect">
            <a:avLst/>
          </a:prstGeom>
        </xdr:spPr>
      </xdr:pic>
      <xdr:pic>
        <xdr:nvPicPr>
          <xdr:cNvPr id="25" name="Imag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4820406" y="6629621"/>
            <a:ext cx="581739" cy="337553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78316</xdr:colOff>
      <xdr:row>44</xdr:row>
      <xdr:rowOff>172509</xdr:rowOff>
    </xdr:from>
    <xdr:to>
      <xdr:col>19</xdr:col>
      <xdr:colOff>219075</xdr:colOff>
      <xdr:row>46</xdr:row>
      <xdr:rowOff>85725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45741" y="7278159"/>
          <a:ext cx="769409" cy="332316"/>
        </a:xfrm>
        <a:prstGeom prst="rect">
          <a:avLst/>
        </a:prstGeom>
      </xdr:spPr>
    </xdr:pic>
    <xdr:clientData/>
  </xdr:twoCellAnchor>
  <xdr:twoCellAnchor>
    <xdr:from>
      <xdr:col>26</xdr:col>
      <xdr:colOff>321734</xdr:colOff>
      <xdr:row>45</xdr:row>
      <xdr:rowOff>21166</xdr:rowOff>
    </xdr:from>
    <xdr:to>
      <xdr:col>26</xdr:col>
      <xdr:colOff>685800</xdr:colOff>
      <xdr:row>47</xdr:row>
      <xdr:rowOff>49971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932334" y="7336366"/>
          <a:ext cx="364066" cy="447905"/>
        </a:xfrm>
        <a:prstGeom prst="rect">
          <a:avLst/>
        </a:prstGeom>
      </xdr:spPr>
    </xdr:pic>
    <xdr:clientData/>
  </xdr:twoCellAnchor>
  <xdr:twoCellAnchor editAs="oneCell">
    <xdr:from>
      <xdr:col>26</xdr:col>
      <xdr:colOff>312207</xdr:colOff>
      <xdr:row>48</xdr:row>
      <xdr:rowOff>9526</xdr:rowOff>
    </xdr:from>
    <xdr:to>
      <xdr:col>27</xdr:col>
      <xdr:colOff>20108</xdr:colOff>
      <xdr:row>50</xdr:row>
      <xdr:rowOff>125621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922807" y="7953376"/>
          <a:ext cx="422276" cy="535195"/>
        </a:xfrm>
        <a:prstGeom prst="rect">
          <a:avLst/>
        </a:prstGeom>
      </xdr:spPr>
    </xdr:pic>
    <xdr:clientData/>
  </xdr:twoCellAnchor>
  <xdr:twoCellAnchor editAs="oneCell">
    <xdr:from>
      <xdr:col>25</xdr:col>
      <xdr:colOff>95250</xdr:colOff>
      <xdr:row>58</xdr:row>
      <xdr:rowOff>136071</xdr:rowOff>
    </xdr:from>
    <xdr:to>
      <xdr:col>28</xdr:col>
      <xdr:colOff>284539</xdr:colOff>
      <xdr:row>61</xdr:row>
      <xdr:rowOff>55535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9BD0D0C-FC84-4723-BB2B-1A96EAC6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6" y="9620250"/>
          <a:ext cx="1413932" cy="531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197705</xdr:colOff>
      <xdr:row>1</xdr:row>
      <xdr:rowOff>120890</xdr:rowOff>
    </xdr:from>
    <xdr:to>
      <xdr:col>3</xdr:col>
      <xdr:colOff>125336</xdr:colOff>
      <xdr:row>2</xdr:row>
      <xdr:rowOff>353319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695438D5-0178-4D93-97C7-49029C3B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" y="176919"/>
          <a:ext cx="1361984" cy="523782"/>
        </a:xfrm>
        <a:prstGeom prst="rect">
          <a:avLst/>
        </a:prstGeom>
      </xdr:spPr>
    </xdr:pic>
    <xdr:clientData/>
  </xdr:twoCellAnchor>
  <xdr:twoCellAnchor editAs="oneCell">
    <xdr:from>
      <xdr:col>17</xdr:col>
      <xdr:colOff>78448</xdr:colOff>
      <xdr:row>46</xdr:row>
      <xdr:rowOff>122818</xdr:rowOff>
    </xdr:from>
    <xdr:to>
      <xdr:col>19</xdr:col>
      <xdr:colOff>220082</xdr:colOff>
      <xdr:row>48</xdr:row>
      <xdr:rowOff>145508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F55AC0D-0808-484D-90D0-7DBEE449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460" y="7464038"/>
          <a:ext cx="757894" cy="440860"/>
        </a:xfrm>
        <a:prstGeom prst="rect">
          <a:avLst/>
        </a:prstGeom>
      </xdr:spPr>
    </xdr:pic>
    <xdr:clientData/>
  </xdr:twoCellAnchor>
  <xdr:twoCellAnchor>
    <xdr:from>
      <xdr:col>19</xdr:col>
      <xdr:colOff>1</xdr:colOff>
      <xdr:row>1</xdr:row>
      <xdr:rowOff>179294</xdr:rowOff>
    </xdr:from>
    <xdr:to>
      <xdr:col>35</xdr:col>
      <xdr:colOff>59725</xdr:colOff>
      <xdr:row>2</xdr:row>
      <xdr:rowOff>327789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DF6A2929-0BF4-4D6C-B941-768EA9B1C790}"/>
            </a:ext>
          </a:extLst>
        </xdr:cNvPr>
        <xdr:cNvSpPr txBox="1"/>
      </xdr:nvSpPr>
      <xdr:spPr>
        <a:xfrm>
          <a:off x="6432177" y="235323"/>
          <a:ext cx="4721372" cy="4398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000" u="none"/>
            <a:t>The result of this acoustic recommendation can only be used for </a:t>
          </a:r>
          <a:r>
            <a:rPr lang="fr-FR" sz="1000" u="sng"/>
            <a:t>MYO products</a:t>
          </a:r>
          <a:r>
            <a:rPr lang="fr-FR" sz="1000" u="none"/>
            <a:t>.</a:t>
          </a:r>
        </a:p>
        <a:p>
          <a:pPr algn="l"/>
          <a:r>
            <a:rPr lang="fr-FR" sz="1000" u="none"/>
            <a:t>In fact, the recommendation is based on the acoustic PV results for MYO products only.</a:t>
          </a:r>
          <a:endParaRPr lang="fr-FR" sz="1000" u="sng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10648</xdr:colOff>
      <xdr:row>83</xdr:row>
      <xdr:rowOff>48022</xdr:rowOff>
    </xdr:from>
    <xdr:to>
      <xdr:col>33</xdr:col>
      <xdr:colOff>12248</xdr:colOff>
      <xdr:row>111</xdr:row>
      <xdr:rowOff>161924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11075</xdr:colOff>
      <xdr:row>77</xdr:row>
      <xdr:rowOff>88605</xdr:rowOff>
    </xdr:from>
    <xdr:to>
      <xdr:col>33</xdr:col>
      <xdr:colOff>7291</xdr:colOff>
      <xdr:row>80</xdr:row>
      <xdr:rowOff>68236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3370CA5-DECD-4DBA-BEF7-B7D751CD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1482" y="12183140"/>
          <a:ext cx="1413932" cy="538136"/>
        </a:xfrm>
        <a:prstGeom prst="rect">
          <a:avLst/>
        </a:prstGeom>
      </xdr:spPr>
    </xdr:pic>
    <xdr:clientData/>
  </xdr:twoCellAnchor>
  <xdr:twoCellAnchor editAs="oneCell">
    <xdr:from>
      <xdr:col>1</xdr:col>
      <xdr:colOff>22152</xdr:colOff>
      <xdr:row>1</xdr:row>
      <xdr:rowOff>11076</xdr:rowOff>
    </xdr:from>
    <xdr:to>
      <xdr:col>6</xdr:col>
      <xdr:colOff>325350</xdr:colOff>
      <xdr:row>2</xdr:row>
      <xdr:rowOff>305549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A855332-6F32-4FA9-8617-E55E6795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05" y="66454"/>
          <a:ext cx="1410757" cy="538136"/>
        </a:xfrm>
        <a:prstGeom prst="rect">
          <a:avLst/>
        </a:prstGeom>
      </xdr:spPr>
    </xdr:pic>
    <xdr:clientData/>
  </xdr:twoCellAnchor>
  <xdr:twoCellAnchor>
    <xdr:from>
      <xdr:col>26</xdr:col>
      <xdr:colOff>134460</xdr:colOff>
      <xdr:row>44</xdr:row>
      <xdr:rowOff>55377</xdr:rowOff>
    </xdr:from>
    <xdr:to>
      <xdr:col>31</xdr:col>
      <xdr:colOff>36784</xdr:colOff>
      <xdr:row>45</xdr:row>
      <xdr:rowOff>114238</xdr:rowOff>
    </xdr:to>
    <xdr:sp macro="" textlink="">
      <xdr:nvSpPr>
        <xdr:cNvPr id="8" name="Flèche droite 3">
          <a:extLst>
            <a:ext uri="{FF2B5EF4-FFF2-40B4-BE49-F238E27FC236}">
              <a16:creationId xmlns:a16="http://schemas.microsoft.com/office/drawing/2014/main" id="{62EDB7B7-B036-47F2-B9FB-5E4BD0F4368F}"/>
            </a:ext>
          </a:extLst>
        </xdr:cNvPr>
        <xdr:cNvSpPr/>
      </xdr:nvSpPr>
      <xdr:spPr>
        <a:xfrm>
          <a:off x="6602600" y="5571017"/>
          <a:ext cx="1032033" cy="236070"/>
        </a:xfrm>
        <a:prstGeom prst="rightArrow">
          <a:avLst/>
        </a:prstGeom>
        <a:solidFill>
          <a:srgbClr val="4C6F6A"/>
        </a:solidFill>
        <a:effec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16</xdr:col>
      <xdr:colOff>202536</xdr:colOff>
      <xdr:row>1</xdr:row>
      <xdr:rowOff>183560</xdr:rowOff>
    </xdr:from>
    <xdr:to>
      <xdr:col>35</xdr:col>
      <xdr:colOff>66454</xdr:colOff>
      <xdr:row>3</xdr:row>
      <xdr:rowOff>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2F883382-E6C8-4287-B45B-452CA72303E9}"/>
            </a:ext>
          </a:extLst>
        </xdr:cNvPr>
        <xdr:cNvSpPr txBox="1"/>
      </xdr:nvSpPr>
      <xdr:spPr>
        <a:xfrm>
          <a:off x="4234048" y="338618"/>
          <a:ext cx="4715022" cy="4366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000" u="none"/>
            <a:t>The result of this acoustic recommendation can only be used for </a:t>
          </a:r>
          <a:r>
            <a:rPr lang="fr-FR" sz="1000" u="sng"/>
            <a:t>MYO products</a:t>
          </a:r>
          <a:r>
            <a:rPr lang="fr-FR" sz="1000" u="none"/>
            <a:t>.</a:t>
          </a:r>
        </a:p>
        <a:p>
          <a:pPr algn="l"/>
          <a:r>
            <a:rPr lang="fr-FR" sz="1000" u="none"/>
            <a:t>In fact, the recommendation is based on the acoustic PV results for MYO products only.</a:t>
          </a:r>
          <a:endParaRPr lang="fr-FR" sz="1000" u="sng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168275</xdr:colOff>
      <xdr:row>236</xdr:row>
      <xdr:rowOff>146050</xdr:rowOff>
    </xdr:from>
    <xdr:to>
      <xdr:col>24</xdr:col>
      <xdr:colOff>333375</xdr:colOff>
      <xdr:row>254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03\Communs\Projets_PRODUITS\2_PROJETS_EN-COURS\1303_Baffles-Acoustique\13038_Industrialisation\13030808_Devis\140513_1734_Fiche%20Devis%20M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03\Communs\Ressources\1_France\Diffusion_Interne\3_my-Openspace\7_Routine%20et%20trame%20devis\2020_calcul%20TR%20au%2020%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alcul"/>
      <sheetName val="Objectif"/>
      <sheetName val="Liste"/>
      <sheetName val="Feuil3"/>
      <sheetName val="Datas"/>
    </sheetNames>
    <sheetDataSet>
      <sheetData sheetId="0"/>
      <sheetData sheetId="1"/>
      <sheetData sheetId="2"/>
      <sheetData sheetId="3">
        <row r="2">
          <cell r="C2" t="str">
            <v>Salle de réunion / formation</v>
          </cell>
        </row>
        <row r="3">
          <cell r="C3" t="str">
            <v>Bureau individuel</v>
          </cell>
        </row>
        <row r="4">
          <cell r="C4" t="str">
            <v>Bureaux collectifs</v>
          </cell>
        </row>
        <row r="5">
          <cell r="C5" t="str">
            <v>Espace ouvert</v>
          </cell>
        </row>
        <row r="6">
          <cell r="C6" t="str">
            <v>Restaurant / cafétéria</v>
          </cell>
        </row>
        <row r="9">
          <cell r="C9" t="str">
            <v>Réunion / formation</v>
          </cell>
        </row>
        <row r="10">
          <cell r="C10" t="str">
            <v>travail individuel</v>
          </cell>
        </row>
        <row r="11">
          <cell r="C11" t="str">
            <v>travail collectif</v>
          </cell>
        </row>
        <row r="12">
          <cell r="C12" t="str">
            <v>téléphonique</v>
          </cell>
        </row>
        <row r="13">
          <cell r="C13" t="str">
            <v>Restauration</v>
          </cell>
        </row>
        <row r="16">
          <cell r="C16">
            <v>0</v>
          </cell>
          <cell r="D16">
            <v>1</v>
          </cell>
          <cell r="E16">
            <v>2</v>
          </cell>
          <cell r="F16">
            <v>3</v>
          </cell>
          <cell r="G16">
            <v>4</v>
          </cell>
          <cell r="H16">
            <v>5</v>
          </cell>
          <cell r="I16">
            <v>6</v>
          </cell>
          <cell r="J16">
            <v>7</v>
          </cell>
          <cell r="K16">
            <v>8</v>
          </cell>
          <cell r="L16">
            <v>9</v>
          </cell>
          <cell r="M16">
            <v>10</v>
          </cell>
          <cell r="N16">
            <v>11</v>
          </cell>
          <cell r="O16">
            <v>12</v>
          </cell>
          <cell r="P16">
            <v>13</v>
          </cell>
          <cell r="Q16">
            <v>14</v>
          </cell>
          <cell r="R16">
            <v>15</v>
          </cell>
          <cell r="S16">
            <v>16</v>
          </cell>
          <cell r="T16">
            <v>17</v>
          </cell>
          <cell r="U16">
            <v>18</v>
          </cell>
          <cell r="V16">
            <v>19</v>
          </cell>
          <cell r="W16">
            <v>20</v>
          </cell>
          <cell r="X16">
            <v>21</v>
          </cell>
          <cell r="Y16">
            <v>22</v>
          </cell>
          <cell r="Z16">
            <v>23</v>
          </cell>
          <cell r="AA16">
            <v>24</v>
          </cell>
          <cell r="AB16">
            <v>25</v>
          </cell>
          <cell r="AC16">
            <v>26</v>
          </cell>
          <cell r="AD16">
            <v>27</v>
          </cell>
          <cell r="AE16">
            <v>28</v>
          </cell>
          <cell r="AF16">
            <v>29</v>
          </cell>
          <cell r="AG16">
            <v>30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ustique "/>
      <sheetName val="Doc client"/>
      <sheetName val="Notice de calcul"/>
      <sheetName val="Feuil1"/>
      <sheetName val="Datas"/>
      <sheetName val="Calcul"/>
    </sheetNames>
    <sheetDataSet>
      <sheetData sheetId="0"/>
      <sheetData sheetId="1"/>
      <sheetData sheetId="2"/>
      <sheetData sheetId="3"/>
      <sheetData sheetId="4">
        <row r="3">
          <cell r="C3">
            <v>0</v>
          </cell>
        </row>
        <row r="4">
          <cell r="C4">
            <v>1</v>
          </cell>
        </row>
        <row r="5">
          <cell r="C5">
            <v>2</v>
          </cell>
        </row>
        <row r="6">
          <cell r="C6">
            <v>3</v>
          </cell>
        </row>
        <row r="7">
          <cell r="C7">
            <v>4</v>
          </cell>
        </row>
        <row r="8">
          <cell r="C8">
            <v>5</v>
          </cell>
        </row>
        <row r="9">
          <cell r="C9">
            <v>6</v>
          </cell>
        </row>
        <row r="10">
          <cell r="C10">
            <v>7</v>
          </cell>
        </row>
        <row r="11">
          <cell r="C11">
            <v>8</v>
          </cell>
        </row>
        <row r="12">
          <cell r="C12">
            <v>9</v>
          </cell>
        </row>
        <row r="13">
          <cell r="C13">
            <v>10</v>
          </cell>
        </row>
        <row r="14">
          <cell r="C14">
            <v>11</v>
          </cell>
        </row>
        <row r="15">
          <cell r="C15">
            <v>12</v>
          </cell>
        </row>
        <row r="16">
          <cell r="C16">
            <v>13</v>
          </cell>
        </row>
        <row r="17">
          <cell r="C17">
            <v>14</v>
          </cell>
        </row>
        <row r="18">
          <cell r="C18">
            <v>15</v>
          </cell>
        </row>
        <row r="19">
          <cell r="C19">
            <v>16</v>
          </cell>
        </row>
        <row r="20">
          <cell r="C20">
            <v>17</v>
          </cell>
        </row>
        <row r="21">
          <cell r="C21">
            <v>18</v>
          </cell>
        </row>
        <row r="22">
          <cell r="C22">
            <v>19</v>
          </cell>
        </row>
        <row r="23">
          <cell r="C23">
            <v>20</v>
          </cell>
        </row>
        <row r="24">
          <cell r="C24">
            <v>21</v>
          </cell>
        </row>
        <row r="25">
          <cell r="C25">
            <v>22</v>
          </cell>
        </row>
        <row r="26">
          <cell r="C26">
            <v>23</v>
          </cell>
        </row>
        <row r="27">
          <cell r="C27">
            <v>24</v>
          </cell>
        </row>
        <row r="28">
          <cell r="C28">
            <v>25</v>
          </cell>
        </row>
        <row r="29">
          <cell r="C29">
            <v>26</v>
          </cell>
        </row>
        <row r="30">
          <cell r="C30">
            <v>27</v>
          </cell>
        </row>
        <row r="31">
          <cell r="C31">
            <v>28</v>
          </cell>
        </row>
        <row r="32">
          <cell r="C32">
            <v>29</v>
          </cell>
        </row>
        <row r="33">
          <cell r="C33">
            <v>30</v>
          </cell>
        </row>
        <row r="34">
          <cell r="C34">
            <v>31</v>
          </cell>
        </row>
        <row r="35">
          <cell r="C35">
            <v>32</v>
          </cell>
        </row>
        <row r="36">
          <cell r="C36">
            <v>33</v>
          </cell>
        </row>
        <row r="37">
          <cell r="C37">
            <v>34</v>
          </cell>
        </row>
        <row r="38">
          <cell r="C38">
            <v>35</v>
          </cell>
        </row>
        <row r="39">
          <cell r="C39">
            <v>36</v>
          </cell>
        </row>
        <row r="40">
          <cell r="C40">
            <v>38</v>
          </cell>
        </row>
        <row r="41">
          <cell r="C41">
            <v>39</v>
          </cell>
        </row>
        <row r="42">
          <cell r="C42">
            <v>40</v>
          </cell>
        </row>
        <row r="43">
          <cell r="C43">
            <v>41</v>
          </cell>
        </row>
        <row r="44">
          <cell r="C44">
            <v>42</v>
          </cell>
        </row>
        <row r="45">
          <cell r="C45">
            <v>43</v>
          </cell>
        </row>
        <row r="46">
          <cell r="C46">
            <v>44</v>
          </cell>
        </row>
        <row r="47">
          <cell r="C47">
            <v>45</v>
          </cell>
        </row>
        <row r="48">
          <cell r="C48">
            <v>46</v>
          </cell>
        </row>
        <row r="49">
          <cell r="C49">
            <v>47</v>
          </cell>
        </row>
        <row r="50">
          <cell r="C50">
            <v>48</v>
          </cell>
        </row>
        <row r="51">
          <cell r="C51">
            <v>49</v>
          </cell>
        </row>
        <row r="52">
          <cell r="C52">
            <v>50</v>
          </cell>
        </row>
        <row r="53">
          <cell r="C53">
            <v>51</v>
          </cell>
        </row>
        <row r="54">
          <cell r="C54">
            <v>52</v>
          </cell>
        </row>
        <row r="55">
          <cell r="C55">
            <v>53</v>
          </cell>
        </row>
        <row r="56">
          <cell r="C56">
            <v>54</v>
          </cell>
        </row>
        <row r="57">
          <cell r="C57">
            <v>55</v>
          </cell>
        </row>
        <row r="58">
          <cell r="C58">
            <v>56</v>
          </cell>
        </row>
        <row r="59">
          <cell r="C59">
            <v>57</v>
          </cell>
        </row>
        <row r="60">
          <cell r="C60">
            <v>58</v>
          </cell>
        </row>
        <row r="61">
          <cell r="C61">
            <v>59</v>
          </cell>
        </row>
        <row r="62">
          <cell r="C62">
            <v>60</v>
          </cell>
        </row>
        <row r="63">
          <cell r="C63">
            <v>61</v>
          </cell>
        </row>
        <row r="64">
          <cell r="C64">
            <v>62</v>
          </cell>
        </row>
        <row r="65">
          <cell r="C65">
            <v>63</v>
          </cell>
        </row>
        <row r="66">
          <cell r="C66">
            <v>64</v>
          </cell>
        </row>
        <row r="67">
          <cell r="C67">
            <v>65</v>
          </cell>
        </row>
        <row r="68">
          <cell r="C68">
            <v>66</v>
          </cell>
        </row>
        <row r="69">
          <cell r="C69">
            <v>67</v>
          </cell>
        </row>
        <row r="70">
          <cell r="C70">
            <v>68</v>
          </cell>
        </row>
        <row r="71">
          <cell r="C71">
            <v>69</v>
          </cell>
        </row>
        <row r="72">
          <cell r="C72">
            <v>70</v>
          </cell>
        </row>
        <row r="73">
          <cell r="C73">
            <v>71</v>
          </cell>
        </row>
        <row r="74">
          <cell r="C74">
            <v>72</v>
          </cell>
        </row>
        <row r="75">
          <cell r="C75">
            <v>73</v>
          </cell>
        </row>
        <row r="76">
          <cell r="C76">
            <v>74</v>
          </cell>
        </row>
        <row r="77">
          <cell r="C77">
            <v>75</v>
          </cell>
        </row>
        <row r="78">
          <cell r="C78">
            <v>76</v>
          </cell>
        </row>
        <row r="79">
          <cell r="C79">
            <v>77</v>
          </cell>
        </row>
        <row r="80">
          <cell r="C80">
            <v>78</v>
          </cell>
        </row>
        <row r="81">
          <cell r="C81">
            <v>79</v>
          </cell>
        </row>
        <row r="82">
          <cell r="C82">
            <v>80</v>
          </cell>
        </row>
        <row r="83">
          <cell r="C83">
            <v>81</v>
          </cell>
        </row>
        <row r="84">
          <cell r="C84">
            <v>82</v>
          </cell>
        </row>
        <row r="85">
          <cell r="C85">
            <v>83</v>
          </cell>
        </row>
        <row r="86">
          <cell r="C86">
            <v>84</v>
          </cell>
        </row>
        <row r="87">
          <cell r="C87">
            <v>85</v>
          </cell>
        </row>
        <row r="88">
          <cell r="C88">
            <v>86</v>
          </cell>
        </row>
        <row r="89">
          <cell r="C89">
            <v>87</v>
          </cell>
        </row>
        <row r="90">
          <cell r="C90">
            <v>88</v>
          </cell>
        </row>
        <row r="91">
          <cell r="C91">
            <v>89</v>
          </cell>
        </row>
        <row r="92">
          <cell r="C92">
            <v>90</v>
          </cell>
        </row>
        <row r="93">
          <cell r="C93">
            <v>91</v>
          </cell>
        </row>
        <row r="94">
          <cell r="C94">
            <v>92</v>
          </cell>
        </row>
        <row r="95">
          <cell r="C95">
            <v>93</v>
          </cell>
        </row>
        <row r="96">
          <cell r="C96">
            <v>94</v>
          </cell>
        </row>
        <row r="97">
          <cell r="C97">
            <v>95</v>
          </cell>
        </row>
        <row r="98">
          <cell r="C98">
            <v>96</v>
          </cell>
        </row>
        <row r="99">
          <cell r="C99">
            <v>97</v>
          </cell>
        </row>
        <row r="100">
          <cell r="C100">
            <v>98</v>
          </cell>
        </row>
        <row r="101">
          <cell r="C101">
            <v>99</v>
          </cell>
        </row>
        <row r="102">
          <cell r="C102">
            <v>100</v>
          </cell>
        </row>
        <row r="103">
          <cell r="C103">
            <v>101</v>
          </cell>
        </row>
        <row r="104">
          <cell r="C104">
            <v>102</v>
          </cell>
        </row>
        <row r="105">
          <cell r="C105">
            <v>103</v>
          </cell>
        </row>
        <row r="106">
          <cell r="C106">
            <v>104</v>
          </cell>
        </row>
        <row r="107">
          <cell r="C107">
            <v>105</v>
          </cell>
        </row>
        <row r="108">
          <cell r="C108">
            <v>106</v>
          </cell>
        </row>
        <row r="109">
          <cell r="C109">
            <v>107</v>
          </cell>
        </row>
        <row r="110">
          <cell r="C110">
            <v>108</v>
          </cell>
        </row>
        <row r="111">
          <cell r="C111">
            <v>109</v>
          </cell>
        </row>
        <row r="112">
          <cell r="C112">
            <v>110</v>
          </cell>
        </row>
        <row r="113">
          <cell r="C113">
            <v>111</v>
          </cell>
        </row>
        <row r="114">
          <cell r="C114">
            <v>112</v>
          </cell>
        </row>
        <row r="115">
          <cell r="C115">
            <v>113</v>
          </cell>
        </row>
        <row r="116">
          <cell r="C116">
            <v>114</v>
          </cell>
        </row>
        <row r="117">
          <cell r="C117">
            <v>115</v>
          </cell>
        </row>
        <row r="118">
          <cell r="C118">
            <v>116</v>
          </cell>
        </row>
        <row r="119">
          <cell r="C119">
            <v>117</v>
          </cell>
        </row>
        <row r="120">
          <cell r="C120">
            <v>118</v>
          </cell>
        </row>
        <row r="121">
          <cell r="C121">
            <v>119</v>
          </cell>
        </row>
        <row r="122">
          <cell r="C122">
            <v>120</v>
          </cell>
        </row>
        <row r="123">
          <cell r="C123">
            <v>121</v>
          </cell>
        </row>
        <row r="124">
          <cell r="C124">
            <v>122</v>
          </cell>
        </row>
        <row r="125">
          <cell r="C125">
            <v>123</v>
          </cell>
        </row>
        <row r="126">
          <cell r="C126">
            <v>124</v>
          </cell>
        </row>
        <row r="127">
          <cell r="C127">
            <v>125</v>
          </cell>
        </row>
        <row r="128">
          <cell r="C128">
            <v>126</v>
          </cell>
        </row>
        <row r="129">
          <cell r="C129">
            <v>127</v>
          </cell>
        </row>
        <row r="130">
          <cell r="C130">
            <v>128</v>
          </cell>
        </row>
        <row r="131">
          <cell r="C131">
            <v>129</v>
          </cell>
        </row>
        <row r="132">
          <cell r="C132">
            <v>130</v>
          </cell>
        </row>
        <row r="133">
          <cell r="C133">
            <v>131</v>
          </cell>
        </row>
        <row r="134">
          <cell r="C134">
            <v>132</v>
          </cell>
        </row>
        <row r="135">
          <cell r="C135">
            <v>133</v>
          </cell>
        </row>
        <row r="136">
          <cell r="C136">
            <v>134</v>
          </cell>
        </row>
        <row r="137">
          <cell r="C137">
            <v>135</v>
          </cell>
        </row>
        <row r="138">
          <cell r="C138">
            <v>136</v>
          </cell>
        </row>
        <row r="139">
          <cell r="C139">
            <v>137</v>
          </cell>
        </row>
        <row r="140">
          <cell r="C140">
            <v>138</v>
          </cell>
        </row>
        <row r="141">
          <cell r="C141">
            <v>139</v>
          </cell>
        </row>
        <row r="142">
          <cell r="C142">
            <v>140</v>
          </cell>
        </row>
        <row r="143">
          <cell r="C143">
            <v>141</v>
          </cell>
        </row>
        <row r="144">
          <cell r="C144">
            <v>142</v>
          </cell>
        </row>
        <row r="145">
          <cell r="C145">
            <v>143</v>
          </cell>
        </row>
        <row r="146">
          <cell r="C146">
            <v>144</v>
          </cell>
        </row>
        <row r="147">
          <cell r="C147">
            <v>145</v>
          </cell>
        </row>
        <row r="148">
          <cell r="C148">
            <v>146</v>
          </cell>
        </row>
        <row r="149">
          <cell r="C149">
            <v>147</v>
          </cell>
        </row>
        <row r="150">
          <cell r="C150">
            <v>148</v>
          </cell>
        </row>
        <row r="151">
          <cell r="C151">
            <v>149</v>
          </cell>
        </row>
        <row r="152">
          <cell r="C152">
            <v>150</v>
          </cell>
        </row>
        <row r="153">
          <cell r="C153">
            <v>151</v>
          </cell>
        </row>
        <row r="154">
          <cell r="C154">
            <v>152</v>
          </cell>
        </row>
        <row r="155">
          <cell r="C155">
            <v>153</v>
          </cell>
        </row>
        <row r="156">
          <cell r="C156">
            <v>154</v>
          </cell>
        </row>
        <row r="157">
          <cell r="C157">
            <v>155</v>
          </cell>
        </row>
        <row r="158">
          <cell r="C158">
            <v>156</v>
          </cell>
        </row>
        <row r="159">
          <cell r="C159">
            <v>157</v>
          </cell>
        </row>
        <row r="160">
          <cell r="C160">
            <v>158</v>
          </cell>
        </row>
        <row r="161">
          <cell r="C161">
            <v>159</v>
          </cell>
        </row>
        <row r="162">
          <cell r="C162">
            <v>160</v>
          </cell>
        </row>
        <row r="163">
          <cell r="C163">
            <v>161</v>
          </cell>
        </row>
        <row r="164">
          <cell r="C164">
            <v>162</v>
          </cell>
        </row>
        <row r="165">
          <cell r="C165">
            <v>163</v>
          </cell>
        </row>
        <row r="166">
          <cell r="C166">
            <v>164</v>
          </cell>
        </row>
        <row r="167">
          <cell r="C167">
            <v>165</v>
          </cell>
        </row>
        <row r="168">
          <cell r="C168">
            <v>166</v>
          </cell>
        </row>
        <row r="169">
          <cell r="C169">
            <v>167</v>
          </cell>
        </row>
        <row r="170">
          <cell r="C170">
            <v>168</v>
          </cell>
        </row>
        <row r="171">
          <cell r="C171">
            <v>169</v>
          </cell>
        </row>
        <row r="172">
          <cell r="C172">
            <v>170</v>
          </cell>
        </row>
        <row r="173">
          <cell r="C173">
            <v>171</v>
          </cell>
        </row>
        <row r="174">
          <cell r="C174">
            <v>172</v>
          </cell>
        </row>
        <row r="175">
          <cell r="C175">
            <v>173</v>
          </cell>
        </row>
        <row r="176">
          <cell r="C176">
            <v>174</v>
          </cell>
        </row>
        <row r="177">
          <cell r="C177">
            <v>175</v>
          </cell>
        </row>
        <row r="178">
          <cell r="C178">
            <v>176</v>
          </cell>
        </row>
        <row r="179">
          <cell r="C179">
            <v>177</v>
          </cell>
        </row>
        <row r="180">
          <cell r="C180">
            <v>178</v>
          </cell>
        </row>
        <row r="181">
          <cell r="C181">
            <v>179</v>
          </cell>
        </row>
        <row r="182">
          <cell r="C182">
            <v>180</v>
          </cell>
        </row>
        <row r="183">
          <cell r="C183">
            <v>181</v>
          </cell>
        </row>
        <row r="184">
          <cell r="C184">
            <v>182</v>
          </cell>
        </row>
        <row r="185">
          <cell r="C185">
            <v>183</v>
          </cell>
        </row>
        <row r="186">
          <cell r="C186">
            <v>184</v>
          </cell>
        </row>
        <row r="187">
          <cell r="C187">
            <v>185</v>
          </cell>
        </row>
        <row r="188">
          <cell r="C188">
            <v>186</v>
          </cell>
        </row>
        <row r="189">
          <cell r="C189">
            <v>187</v>
          </cell>
        </row>
        <row r="190">
          <cell r="C190">
            <v>188</v>
          </cell>
        </row>
        <row r="191">
          <cell r="C191">
            <v>189</v>
          </cell>
        </row>
        <row r="192">
          <cell r="C192">
            <v>190</v>
          </cell>
        </row>
        <row r="193">
          <cell r="C193">
            <v>191</v>
          </cell>
        </row>
        <row r="194">
          <cell r="C194">
            <v>192</v>
          </cell>
        </row>
        <row r="195">
          <cell r="C195">
            <v>193</v>
          </cell>
        </row>
        <row r="196">
          <cell r="C196">
            <v>194</v>
          </cell>
        </row>
        <row r="197">
          <cell r="C197">
            <v>195</v>
          </cell>
        </row>
        <row r="198">
          <cell r="C198">
            <v>196</v>
          </cell>
        </row>
        <row r="199">
          <cell r="C199">
            <v>197</v>
          </cell>
        </row>
        <row r="200">
          <cell r="C200">
            <v>198</v>
          </cell>
        </row>
        <row r="201">
          <cell r="C201">
            <v>199</v>
          </cell>
        </row>
        <row r="202">
          <cell r="C202">
            <v>200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vippolito@hoyez.com" TargetMode="External"/><Relationship Id="rId13" Type="http://schemas.openxmlformats.org/officeDocument/2006/relationships/printerSettings" Target="../printerSettings/printerSettings5.bin"/><Relationship Id="rId3" Type="http://schemas.openxmlformats.org/officeDocument/2006/relationships/hyperlink" Target="mailto:ssakoun@hoyez.com" TargetMode="External"/><Relationship Id="rId7" Type="http://schemas.openxmlformats.org/officeDocument/2006/relationships/hyperlink" Target="mailto:adecoquereaumont@hoyez.com" TargetMode="External"/><Relationship Id="rId12" Type="http://schemas.openxmlformats.org/officeDocument/2006/relationships/hyperlink" Target="mailto:tbourgeat@hoyez.com" TargetMode="External"/><Relationship Id="rId2" Type="http://schemas.openxmlformats.org/officeDocument/2006/relationships/hyperlink" Target="mailto:lvandenbroucke@hoyez.com" TargetMode="External"/><Relationship Id="rId1" Type="http://schemas.openxmlformats.org/officeDocument/2006/relationships/hyperlink" Target="mailto:fgregoire@hoyez.com" TargetMode="External"/><Relationship Id="rId6" Type="http://schemas.openxmlformats.org/officeDocument/2006/relationships/hyperlink" Target="mailto:csailly@my-openspace.com" TargetMode="External"/><Relationship Id="rId11" Type="http://schemas.openxmlformats.org/officeDocument/2006/relationships/hyperlink" Target="mailto:cmoncorge@hoyez.com" TargetMode="External"/><Relationship Id="rId5" Type="http://schemas.openxmlformats.org/officeDocument/2006/relationships/hyperlink" Target="mailto:ecatherine@my-openspace.com" TargetMode="External"/><Relationship Id="rId10" Type="http://schemas.openxmlformats.org/officeDocument/2006/relationships/hyperlink" Target="mailto:epeltier@hoyez.com" TargetMode="External"/><Relationship Id="rId4" Type="http://schemas.openxmlformats.org/officeDocument/2006/relationships/hyperlink" Target="mailto:ssonnier@my-openspace.com" TargetMode="External"/><Relationship Id="rId9" Type="http://schemas.openxmlformats.org/officeDocument/2006/relationships/hyperlink" Target="mailto:imussy@myo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W77"/>
  <sheetViews>
    <sheetView showGridLines="0" tabSelected="1" topLeftCell="B1" zoomScale="85" zoomScaleNormal="85" zoomScaleSheetLayoutView="85" zoomScalePageLayoutView="70" workbookViewId="0">
      <selection activeCell="AN13" sqref="AN13"/>
    </sheetView>
  </sheetViews>
  <sheetFormatPr baseColWidth="10" defaultColWidth="11.453125" defaultRowHeight="13" x14ac:dyDescent="0.25"/>
  <cols>
    <col min="1" max="1" width="8.984375E-2" style="107" customWidth="1"/>
    <col min="2" max="2" width="12.26953125" style="107" customWidth="1"/>
    <col min="3" max="3" width="8.1796875" style="107" customWidth="1"/>
    <col min="4" max="6" width="3.453125" style="107" customWidth="1"/>
    <col min="7" max="8" width="4.6328125" style="107" customWidth="1"/>
    <col min="9" max="9" width="3.453125" style="107" customWidth="1"/>
    <col min="10" max="10" width="11.08984375" style="107" customWidth="1"/>
    <col min="11" max="12" width="4" style="107" customWidth="1"/>
    <col min="13" max="14" width="4.1796875" style="107" customWidth="1"/>
    <col min="15" max="16" width="4.54296875" style="107" customWidth="1"/>
    <col min="17" max="17" width="3.453125" style="107" customWidth="1"/>
    <col min="18" max="18" width="4.6328125" style="107" customWidth="1"/>
    <col min="19" max="20" width="4.1796875" style="107" customWidth="1"/>
    <col min="21" max="21" width="4.6328125" style="107" customWidth="1"/>
    <col min="22" max="23" width="3.453125" style="107" customWidth="1"/>
    <col min="24" max="24" width="4.6328125" style="107" customWidth="1"/>
    <col min="25" max="26" width="3.453125" style="107" customWidth="1"/>
    <col min="27" max="27" width="10.1796875" style="107" customWidth="1"/>
    <col min="28" max="28" width="3.453125" style="107" customWidth="1"/>
    <col min="29" max="29" width="4.6328125" style="107" customWidth="1"/>
    <col min="30" max="31" width="3.453125" style="107" customWidth="1"/>
    <col min="32" max="32" width="4.6328125" style="107" customWidth="1"/>
    <col min="33" max="35" width="3.453125" style="107" customWidth="1"/>
    <col min="36" max="36" width="6.1796875" style="107" bestFit="1" customWidth="1"/>
    <col min="37" max="37" width="8" style="107" bestFit="1" customWidth="1"/>
    <col min="38" max="38" width="7.54296875" style="107" bestFit="1" customWidth="1"/>
    <col min="39" max="39" width="5.54296875" style="107" bestFit="1" customWidth="1"/>
    <col min="40" max="40" width="11.453125" style="110"/>
    <col min="41" max="42" width="15.6328125" style="107" bestFit="1" customWidth="1"/>
    <col min="43" max="44" width="11.453125" style="107"/>
    <col min="45" max="45" width="27.6328125" style="107" bestFit="1" customWidth="1"/>
    <col min="46" max="59" width="11.453125" style="107"/>
    <col min="60" max="60" width="18.1796875" style="107" bestFit="1" customWidth="1"/>
    <col min="61" max="61" width="6.1796875" style="107" bestFit="1" customWidth="1"/>
    <col min="62" max="62" width="5" style="107" bestFit="1" customWidth="1"/>
    <col min="63" max="63" width="9.6328125" style="107" bestFit="1" customWidth="1"/>
    <col min="64" max="64" width="5.54296875" style="107" bestFit="1" customWidth="1"/>
    <col min="65" max="65" width="5.6328125" style="107" bestFit="1" customWidth="1"/>
    <col min="66" max="67" width="5.54296875" style="107" bestFit="1" customWidth="1"/>
    <col min="68" max="68" width="2" style="107" bestFit="1" customWidth="1"/>
    <col min="69" max="69" width="5.54296875" style="107" bestFit="1" customWidth="1"/>
    <col min="70" max="70" width="11.453125" style="107"/>
    <col min="71" max="71" width="2" style="107" bestFit="1" customWidth="1"/>
    <col min="72" max="100" width="11.453125" style="107"/>
    <col min="101" max="101" width="5.6328125" style="107" bestFit="1" customWidth="1"/>
    <col min="102" max="16384" width="11.453125" style="107"/>
  </cols>
  <sheetData>
    <row r="1" spans="2:75" ht="4.5" customHeight="1" x14ac:dyDescent="0.25"/>
    <row r="2" spans="2:75" s="111" customFormat="1" ht="23.25" customHeight="1" x14ac:dyDescent="0.25">
      <c r="J2" s="339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1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2:75" ht="33" customHeight="1" x14ac:dyDescent="0.25">
      <c r="J3" s="339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1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BS3" s="14"/>
    </row>
    <row r="4" spans="2:75" ht="9.65" customHeight="1" x14ac:dyDescent="0.25">
      <c r="J4" s="339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1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BS4" s="14"/>
    </row>
    <row r="5" spans="2:75" ht="18" x14ac:dyDescent="0.25">
      <c r="B5" s="357" t="s">
        <v>211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  <c r="W5" s="357"/>
      <c r="X5" s="357"/>
      <c r="Y5" s="357"/>
      <c r="Z5" s="357"/>
      <c r="AA5" s="357"/>
      <c r="AB5" s="357"/>
      <c r="AC5" s="357"/>
      <c r="AD5" s="357"/>
      <c r="AE5" s="357"/>
      <c r="AF5" s="357"/>
      <c r="AG5" s="357"/>
      <c r="AH5" s="357"/>
      <c r="AI5" s="357"/>
    </row>
    <row r="6" spans="2:75" ht="30.65" customHeight="1" x14ac:dyDescent="0.25">
      <c r="B6" s="225" t="s">
        <v>214</v>
      </c>
      <c r="C6" s="225"/>
      <c r="D6" s="225"/>
      <c r="E6" s="225"/>
      <c r="F6" s="375">
        <f>+'Notice de calcul'!T6</f>
        <v>0</v>
      </c>
      <c r="G6" s="376"/>
      <c r="H6" s="376"/>
      <c r="I6" s="225" t="s">
        <v>213</v>
      </c>
      <c r="J6" s="225"/>
      <c r="K6" s="157"/>
      <c r="L6" s="157"/>
      <c r="M6" s="158">
        <f>+'Notice de calcul'!G7</f>
        <v>0</v>
      </c>
      <c r="N6" s="158"/>
      <c r="O6" s="158"/>
      <c r="P6" s="158"/>
      <c r="Q6" s="158"/>
      <c r="R6" s="158"/>
      <c r="S6" s="158"/>
      <c r="T6" s="158"/>
      <c r="U6" s="158"/>
      <c r="V6" s="226"/>
      <c r="W6" s="226"/>
      <c r="X6" s="226"/>
      <c r="Y6" s="226"/>
      <c r="Z6" s="226"/>
      <c r="AA6" s="226"/>
      <c r="AB6" s="226"/>
      <c r="AC6" s="225" t="s">
        <v>2</v>
      </c>
      <c r="AD6" s="225"/>
      <c r="AE6" s="358">
        <f>+'Notice de calcul'!AE6</f>
        <v>0</v>
      </c>
      <c r="AF6" s="359"/>
      <c r="AG6" s="359"/>
      <c r="AH6" s="359"/>
      <c r="AI6" s="225"/>
    </row>
    <row r="7" spans="2:75" ht="4.5" customHeight="1" x14ac:dyDescent="0.25"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BS7" s="14"/>
    </row>
    <row r="8" spans="2:75" s="111" customFormat="1" ht="18" x14ac:dyDescent="0.25">
      <c r="B8" s="356" t="s">
        <v>215</v>
      </c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6"/>
      <c r="AD8" s="356"/>
      <c r="AE8" s="356"/>
      <c r="AF8" s="356"/>
      <c r="AG8" s="356"/>
      <c r="AH8" s="356"/>
      <c r="AI8" s="356"/>
      <c r="BS8" s="107"/>
      <c r="BT8" s="107"/>
      <c r="BW8" s="107"/>
    </row>
    <row r="9" spans="2:75" ht="6" customHeight="1" x14ac:dyDescent="0.25">
      <c r="T9" s="112"/>
      <c r="BW9" s="111"/>
    </row>
    <row r="10" spans="2:75" ht="15.5" x14ac:dyDescent="0.25">
      <c r="C10" s="151" t="s">
        <v>216</v>
      </c>
      <c r="D10" s="151"/>
      <c r="E10" s="151"/>
      <c r="F10" s="151"/>
      <c r="G10" s="151"/>
      <c r="H10" s="372">
        <f>+'Notice de calcul'!H11</f>
        <v>0</v>
      </c>
      <c r="I10" s="373"/>
      <c r="J10" s="373"/>
      <c r="K10" s="373"/>
      <c r="L10" s="373"/>
      <c r="M10" s="373"/>
      <c r="N10" s="373"/>
      <c r="O10" s="373"/>
      <c r="P10" s="373"/>
      <c r="Q10" s="374"/>
      <c r="R10" s="157"/>
      <c r="S10" s="151"/>
      <c r="T10" s="151" t="s">
        <v>218</v>
      </c>
      <c r="U10" s="151"/>
      <c r="V10" s="151"/>
      <c r="W10" s="151"/>
      <c r="X10" s="151"/>
      <c r="Y10" s="151"/>
      <c r="Z10" s="151"/>
      <c r="AA10" s="151"/>
      <c r="AB10" s="156" t="s">
        <v>3</v>
      </c>
      <c r="AC10" s="369">
        <f>+'Notice de calcul'!AC11</f>
        <v>0</v>
      </c>
      <c r="AD10" s="370"/>
      <c r="AE10" s="370"/>
      <c r="AF10" s="370"/>
      <c r="AG10" s="370"/>
      <c r="AH10" s="371"/>
      <c r="AI10" s="151" t="s">
        <v>4</v>
      </c>
    </row>
    <row r="11" spans="2:75" ht="3" customHeight="1" x14ac:dyDescent="0.25">
      <c r="C11" s="151"/>
      <c r="D11" s="151"/>
      <c r="E11" s="151"/>
      <c r="F11" s="151"/>
      <c r="G11" s="151"/>
      <c r="H11" s="151"/>
      <c r="I11" s="151"/>
      <c r="J11" s="159"/>
      <c r="K11" s="159"/>
      <c r="L11" s="160"/>
      <c r="M11" s="159"/>
      <c r="N11" s="159"/>
      <c r="O11" s="159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BW11" s="111"/>
    </row>
    <row r="12" spans="2:75" ht="15.5" x14ac:dyDescent="0.25">
      <c r="C12" s="151" t="s">
        <v>217</v>
      </c>
      <c r="D12" s="151"/>
      <c r="E12" s="151"/>
      <c r="F12" s="151"/>
      <c r="G12" s="151"/>
      <c r="H12" s="372">
        <f>+'Notice de calcul'!H13</f>
        <v>0</v>
      </c>
      <c r="I12" s="373"/>
      <c r="J12" s="373"/>
      <c r="K12" s="373"/>
      <c r="L12" s="373"/>
      <c r="M12" s="373"/>
      <c r="N12" s="373"/>
      <c r="O12" s="373"/>
      <c r="P12" s="373"/>
      <c r="Q12" s="374"/>
      <c r="R12" s="157"/>
      <c r="S12" s="151"/>
      <c r="T12" s="151" t="s">
        <v>219</v>
      </c>
      <c r="U12" s="151"/>
      <c r="V12" s="151"/>
      <c r="W12" s="151"/>
      <c r="X12" s="151"/>
      <c r="Y12" s="151"/>
      <c r="Z12" s="151"/>
      <c r="AA12" s="151"/>
      <c r="AB12" s="156" t="s">
        <v>5</v>
      </c>
      <c r="AC12" s="369">
        <f>+'Notice de calcul'!AC13</f>
        <v>0</v>
      </c>
      <c r="AD12" s="370"/>
      <c r="AE12" s="370"/>
      <c r="AF12" s="370"/>
      <c r="AG12" s="370"/>
      <c r="AH12" s="371"/>
      <c r="AI12" s="151" t="s">
        <v>4</v>
      </c>
      <c r="BS12" s="14"/>
    </row>
    <row r="13" spans="2:75" ht="3" customHeight="1" x14ac:dyDescent="0.25"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9"/>
      <c r="V13" s="159"/>
      <c r="W13" s="159"/>
      <c r="X13" s="159"/>
      <c r="Y13" s="159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BW13" s="111"/>
    </row>
    <row r="14" spans="2:75" ht="15.75" customHeight="1" x14ac:dyDescent="0.25">
      <c r="C14" s="151"/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 t="s">
        <v>220</v>
      </c>
      <c r="U14" s="151"/>
      <c r="V14" s="151"/>
      <c r="W14" s="151"/>
      <c r="X14" s="151"/>
      <c r="Y14" s="151"/>
      <c r="Z14" s="151"/>
      <c r="AA14" s="151"/>
      <c r="AB14" s="156" t="s">
        <v>6</v>
      </c>
      <c r="AC14" s="369">
        <f>+'Notice de calcul'!AC15</f>
        <v>0</v>
      </c>
      <c r="AD14" s="370"/>
      <c r="AE14" s="370"/>
      <c r="AF14" s="370"/>
      <c r="AG14" s="370"/>
      <c r="AH14" s="371"/>
      <c r="AI14" s="151" t="s">
        <v>4</v>
      </c>
    </row>
    <row r="15" spans="2:75" ht="19.5" hidden="1" customHeight="1" x14ac:dyDescent="0.25"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P15" s="224"/>
      <c r="Q15" s="224"/>
      <c r="R15" s="224"/>
      <c r="BW15" s="111"/>
    </row>
    <row r="16" spans="2:75" ht="19.5" hidden="1" customHeight="1" x14ac:dyDescent="0.25">
      <c r="C16" s="224" t="s">
        <v>7</v>
      </c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S16" s="228" t="s">
        <v>8</v>
      </c>
      <c r="Z16" s="363">
        <f>AC10*AC12*AC14</f>
        <v>0</v>
      </c>
      <c r="AA16" s="364"/>
      <c r="AB16" s="364"/>
      <c r="AC16" s="364"/>
      <c r="AD16" s="364"/>
      <c r="AE16" s="365"/>
      <c r="AF16" s="224" t="s">
        <v>9</v>
      </c>
      <c r="AG16" s="224"/>
      <c r="AH16" s="224"/>
      <c r="AI16" s="2"/>
    </row>
    <row r="17" spans="2:75" ht="19.5" hidden="1" customHeight="1" x14ac:dyDescent="0.25"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Z17" s="229"/>
      <c r="AA17" s="229"/>
      <c r="AB17" s="229"/>
      <c r="AC17" s="229"/>
      <c r="AD17" s="229"/>
      <c r="AE17" s="229"/>
      <c r="AF17" s="224"/>
      <c r="AG17" s="224"/>
      <c r="AH17" s="224"/>
      <c r="AI17" s="3"/>
      <c r="BW17" s="111"/>
    </row>
    <row r="18" spans="2:75" ht="19.5" hidden="1" customHeight="1" x14ac:dyDescent="0.25">
      <c r="C18" s="224" t="s">
        <v>10</v>
      </c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T18" s="363"/>
      <c r="U18" s="364"/>
      <c r="V18" s="364"/>
      <c r="W18" s="364"/>
      <c r="X18" s="364"/>
      <c r="Y18" s="365"/>
      <c r="Z18" s="224" t="s">
        <v>11</v>
      </c>
      <c r="AG18" s="224"/>
      <c r="AH18" s="224"/>
      <c r="AI18" s="4"/>
    </row>
    <row r="19" spans="2:75" ht="19.5" hidden="1" customHeight="1" x14ac:dyDescent="0.25">
      <c r="C19" s="230" t="s">
        <v>12</v>
      </c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Z19" s="366" t="e">
        <f>AC10*AC12/T18</f>
        <v>#DIV/0!</v>
      </c>
      <c r="AA19" s="367"/>
      <c r="AB19" s="367"/>
      <c r="AC19" s="367"/>
      <c r="AD19" s="367"/>
      <c r="AE19" s="368"/>
      <c r="AF19" s="224" t="s">
        <v>13</v>
      </c>
      <c r="AG19" s="224"/>
      <c r="AH19" s="224"/>
    </row>
    <row r="20" spans="2:75" ht="4.5" customHeight="1" x14ac:dyDescent="0.25">
      <c r="BW20" s="111"/>
    </row>
    <row r="21" spans="2:75" s="111" customFormat="1" ht="19.5" customHeight="1" x14ac:dyDescent="0.25">
      <c r="B21" s="356" t="s">
        <v>221</v>
      </c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  <c r="BW21" s="107"/>
    </row>
    <row r="22" spans="2:75" ht="3" customHeight="1" x14ac:dyDescent="0.25">
      <c r="BW22" s="111"/>
    </row>
    <row r="23" spans="2:75" ht="15.5" x14ac:dyDescent="0.25">
      <c r="D23" s="403" t="s">
        <v>284</v>
      </c>
      <c r="E23" s="404"/>
      <c r="F23" s="404"/>
      <c r="G23" s="404"/>
      <c r="H23" s="405"/>
      <c r="L23" s="377" t="s">
        <v>285</v>
      </c>
      <c r="M23" s="355"/>
      <c r="N23" s="355"/>
      <c r="O23" s="355"/>
      <c r="P23" s="378"/>
      <c r="T23" s="377" t="s">
        <v>286</v>
      </c>
      <c r="U23" s="407"/>
      <c r="V23" s="407"/>
      <c r="W23" s="407"/>
      <c r="X23" s="407"/>
      <c r="Y23" s="407"/>
      <c r="AD23" s="377" t="s">
        <v>287</v>
      </c>
      <c r="AE23" s="355"/>
      <c r="AF23" s="355"/>
      <c r="AG23" s="355"/>
      <c r="AH23" s="378"/>
      <c r="BW23" s="107">
        <v>28</v>
      </c>
    </row>
    <row r="24" spans="2:75" ht="15.5" x14ac:dyDescent="0.25">
      <c r="D24" s="406">
        <f>SUM('Notice de calcul'!J25:L29)</f>
        <v>0</v>
      </c>
      <c r="E24" s="404"/>
      <c r="F24" s="404"/>
      <c r="G24" s="404"/>
      <c r="H24" s="405"/>
      <c r="L24" s="354">
        <f>SUM('Notice de calcul'!W25:Y28)</f>
        <v>0</v>
      </c>
      <c r="M24" s="355"/>
      <c r="N24" s="355"/>
      <c r="O24" s="355"/>
      <c r="P24" s="355"/>
      <c r="T24" s="406">
        <f>SUM('Notice de calcul'!AH25:AI30)</f>
        <v>0</v>
      </c>
      <c r="U24" s="404"/>
      <c r="V24" s="404"/>
      <c r="W24" s="404"/>
      <c r="X24" s="404"/>
      <c r="Y24" s="405"/>
      <c r="AD24" s="354">
        <f>SUM('Notice de calcul'!W30:X30)</f>
        <v>0</v>
      </c>
      <c r="AE24" s="355"/>
      <c r="AF24" s="355"/>
      <c r="AG24" s="355"/>
      <c r="AH24" s="355"/>
      <c r="BW24" s="111"/>
    </row>
    <row r="25" spans="2:75" ht="6" customHeight="1" x14ac:dyDescent="0.25"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</row>
    <row r="26" spans="2:75" ht="15.5" x14ac:dyDescent="0.25">
      <c r="B26" s="162" t="s">
        <v>288</v>
      </c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4"/>
      <c r="AG26" s="360">
        <f>+AD24+T24+L24+D24</f>
        <v>0</v>
      </c>
      <c r="AH26" s="361"/>
      <c r="AI26" s="362"/>
      <c r="BW26" s="111"/>
    </row>
    <row r="27" spans="2:75" ht="2.25" customHeight="1" x14ac:dyDescent="0.25"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W27" s="124">
        <f>+SUM(T37:T37)</f>
        <v>0</v>
      </c>
    </row>
    <row r="28" spans="2:75" ht="3.75" customHeight="1" x14ac:dyDescent="0.25">
      <c r="B28" s="151"/>
      <c r="C28" s="16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M28" s="125"/>
      <c r="AN28" s="126"/>
      <c r="AO28" s="125"/>
      <c r="AP28" s="125"/>
      <c r="AQ28" s="125"/>
      <c r="AR28" s="125"/>
      <c r="AS28" s="124"/>
      <c r="AT28" s="124"/>
      <c r="AU28" s="124"/>
      <c r="AV28" s="124"/>
      <c r="AW28" s="124"/>
      <c r="AX28" s="125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W28" s="111"/>
    </row>
    <row r="29" spans="2:75" s="111" customFormat="1" ht="18" x14ac:dyDescent="0.25">
      <c r="B29" s="356" t="s">
        <v>249</v>
      </c>
      <c r="C29" s="356"/>
      <c r="D29" s="356"/>
      <c r="E29" s="356"/>
      <c r="F29" s="356"/>
      <c r="G29" s="356"/>
      <c r="H29" s="356"/>
      <c r="I29" s="356"/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M29" s="129"/>
      <c r="AN29" s="129"/>
      <c r="AO29" s="129"/>
      <c r="AP29" s="129"/>
      <c r="AQ29" s="129"/>
      <c r="AR29" s="129"/>
      <c r="AS29" s="130"/>
      <c r="AT29" s="130"/>
      <c r="AU29" s="130"/>
      <c r="AV29" s="130"/>
      <c r="AW29" s="129"/>
      <c r="AX29" s="129"/>
    </row>
    <row r="30" spans="2:75" ht="6" customHeight="1" x14ac:dyDescent="0.25">
      <c r="C30" s="223"/>
      <c r="AM30" s="125"/>
      <c r="AN30" s="126"/>
      <c r="AO30" s="125"/>
      <c r="AP30" s="125"/>
      <c r="AQ30" s="125"/>
      <c r="AR30" s="125"/>
      <c r="AS30" s="124"/>
      <c r="AT30" s="124"/>
      <c r="AU30" s="124"/>
      <c r="AV30" s="124"/>
      <c r="AW30" s="124"/>
      <c r="AX30" s="125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W30" s="111"/>
    </row>
    <row r="31" spans="2:75" s="145" customFormat="1" ht="25.5" customHeight="1" x14ac:dyDescent="0.25">
      <c r="B31" s="304"/>
      <c r="C31" s="300" t="s">
        <v>250</v>
      </c>
      <c r="D31" s="305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2" t="s">
        <v>251</v>
      </c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  <c r="AA31" s="303"/>
      <c r="AB31" s="303"/>
      <c r="AC31" s="303"/>
      <c r="AD31" s="303"/>
      <c r="AE31" s="303"/>
      <c r="AF31" s="386" t="e">
        <f>+'Notice de calcul'!AF44:AH44</f>
        <v>#DIV/0!</v>
      </c>
      <c r="AG31" s="386"/>
      <c r="AH31" s="386"/>
      <c r="AI31" s="304"/>
      <c r="AM31" s="81"/>
      <c r="AN31" s="81"/>
      <c r="AO31" s="81"/>
      <c r="AP31" s="81"/>
      <c r="AQ31" s="81"/>
      <c r="AR31" s="81"/>
      <c r="AS31" s="82"/>
      <c r="AT31" s="82"/>
      <c r="AU31" s="82"/>
      <c r="AV31" s="82"/>
      <c r="AW31" s="82"/>
      <c r="AX31" s="81"/>
      <c r="BW31" s="111"/>
    </row>
    <row r="32" spans="2:75" s="145" customFormat="1" ht="16.5" customHeight="1" x14ac:dyDescent="0.25">
      <c r="C32" s="167" t="s">
        <v>252</v>
      </c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50"/>
      <c r="Y32" s="150"/>
      <c r="Z32" s="156" t="s">
        <v>253</v>
      </c>
      <c r="AA32" s="150"/>
      <c r="AB32" s="150"/>
      <c r="AC32" s="150"/>
      <c r="AD32" s="150"/>
      <c r="AE32" s="150"/>
      <c r="AF32" s="353" t="str">
        <f>+'Notice de calcul'!AF45:AH45</f>
        <v/>
      </c>
      <c r="AG32" s="353"/>
      <c r="AH32" s="353"/>
      <c r="AM32" s="81"/>
      <c r="AN32" s="81"/>
      <c r="AO32" s="81"/>
      <c r="AP32" s="81"/>
      <c r="AQ32" s="81"/>
      <c r="AR32" s="81"/>
      <c r="AS32" s="82"/>
      <c r="AT32" s="82"/>
      <c r="AV32" s="82"/>
      <c r="AW32" s="82"/>
      <c r="AX32" s="81"/>
      <c r="BW32" s="107"/>
    </row>
    <row r="33" spans="2:75" s="145" customFormat="1" ht="16.5" customHeight="1" x14ac:dyDescent="0.25">
      <c r="C33" s="167" t="s">
        <v>254</v>
      </c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50"/>
      <c r="Y33" s="150"/>
      <c r="Z33" s="169" t="s">
        <v>255</v>
      </c>
      <c r="AA33" s="150"/>
      <c r="AB33" s="150"/>
      <c r="AC33" s="150"/>
      <c r="AD33" s="150"/>
      <c r="AE33" s="150"/>
      <c r="AF33" s="353" t="str">
        <f>+'Notice de calcul'!AF46:AH46</f>
        <v/>
      </c>
      <c r="AG33" s="353"/>
      <c r="AH33" s="353"/>
      <c r="AM33" s="81"/>
      <c r="AN33" s="81"/>
      <c r="AO33" s="81"/>
      <c r="AP33" s="81"/>
      <c r="AQ33" s="81"/>
      <c r="AR33" s="81"/>
      <c r="AS33" s="82"/>
      <c r="AT33" s="82"/>
      <c r="AU33" s="82"/>
      <c r="AV33" s="82"/>
      <c r="AW33" s="82"/>
      <c r="AX33" s="81"/>
      <c r="BW33" s="111"/>
    </row>
    <row r="34" spans="2:75" s="111" customFormat="1" ht="18" x14ac:dyDescent="0.25">
      <c r="B34" s="356" t="s">
        <v>303</v>
      </c>
      <c r="C34" s="356"/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M34" s="129"/>
      <c r="AN34" s="129"/>
      <c r="AO34" s="129"/>
      <c r="AP34" s="129"/>
      <c r="AQ34" s="129"/>
      <c r="AR34" s="129"/>
      <c r="AS34" s="130"/>
      <c r="AT34" s="124" t="s">
        <v>82</v>
      </c>
      <c r="AU34" s="130"/>
      <c r="AV34" s="130"/>
      <c r="AW34" s="130"/>
      <c r="AX34" s="129"/>
    </row>
    <row r="35" spans="2:75" ht="2.15" customHeight="1" x14ac:dyDescent="0.25">
      <c r="C35" s="223"/>
      <c r="K35" s="231"/>
      <c r="AM35" s="125"/>
      <c r="AN35" s="126"/>
      <c r="AO35" s="125"/>
      <c r="AP35" s="125"/>
      <c r="AQ35" s="125"/>
      <c r="AR35" s="125"/>
      <c r="AS35" s="124"/>
      <c r="AT35" s="124"/>
      <c r="AU35" s="124"/>
      <c r="AV35" s="124"/>
      <c r="AW35" s="124"/>
      <c r="AX35" s="125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W35" s="111"/>
    </row>
    <row r="36" spans="2:75" ht="16.5" customHeight="1" x14ac:dyDescent="0.25">
      <c r="B36" s="288"/>
      <c r="C36" s="289" t="s">
        <v>289</v>
      </c>
      <c r="D36" s="288"/>
      <c r="E36" s="288"/>
      <c r="F36" s="288"/>
      <c r="G36" s="288"/>
      <c r="H36" s="288"/>
      <c r="I36" s="290"/>
      <c r="J36" s="291"/>
      <c r="K36" s="288"/>
      <c r="L36" s="289" t="s">
        <v>290</v>
      </c>
      <c r="M36" s="288"/>
      <c r="N36" s="288"/>
      <c r="O36" s="288"/>
      <c r="P36" s="288"/>
      <c r="Q36" s="288"/>
      <c r="R36" s="290"/>
      <c r="S36" s="288"/>
      <c r="T36" s="289" t="s">
        <v>291</v>
      </c>
      <c r="U36" s="288"/>
      <c r="V36" s="288"/>
      <c r="W36" s="288"/>
      <c r="X36" s="288"/>
      <c r="Y36" s="288"/>
      <c r="Z36" s="292"/>
      <c r="AA36" s="288"/>
      <c r="AB36" s="288"/>
      <c r="AC36" s="289" t="s">
        <v>292</v>
      </c>
      <c r="AD36" s="288"/>
      <c r="AE36" s="288"/>
      <c r="AF36" s="288"/>
      <c r="AG36" s="293"/>
      <c r="AH36" s="293"/>
      <c r="AI36" s="294"/>
      <c r="AM36" s="125"/>
      <c r="AN36" s="126"/>
      <c r="AO36" s="125"/>
      <c r="AP36" s="125"/>
      <c r="AQ36" s="125"/>
      <c r="AR36" s="125"/>
      <c r="AS36" s="124"/>
      <c r="AT36" s="124"/>
      <c r="AU36" s="124"/>
      <c r="AV36" s="124"/>
      <c r="AW36" s="124"/>
      <c r="AX36" s="125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W36" s="111"/>
    </row>
    <row r="37" spans="2:75" ht="25" customHeight="1" thickBot="1" x14ac:dyDescent="0.3">
      <c r="I37" s="204"/>
      <c r="J37" s="231"/>
      <c r="K37" s="112"/>
      <c r="L37" s="112"/>
      <c r="M37" s="231"/>
      <c r="R37" s="204"/>
      <c r="S37" s="231"/>
      <c r="T37" s="231"/>
      <c r="U37" s="231"/>
      <c r="Z37" s="233"/>
      <c r="AA37" s="231"/>
      <c r="AB37" s="231"/>
      <c r="AG37" s="131"/>
      <c r="AH37" s="131"/>
      <c r="AI37" s="223"/>
      <c r="AJ37" s="132"/>
      <c r="AM37" s="125"/>
      <c r="AN37" s="126"/>
      <c r="AO37" s="125"/>
      <c r="AP37" s="125"/>
      <c r="AQ37" s="125"/>
      <c r="AR37" s="125"/>
      <c r="AS37" s="124"/>
      <c r="AT37" s="124"/>
      <c r="AU37" s="124"/>
      <c r="AV37" s="124"/>
      <c r="AW37" s="124"/>
      <c r="AX37" s="125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W37" s="111"/>
    </row>
    <row r="38" spans="2:75" ht="16.5" customHeight="1" thickBot="1" x14ac:dyDescent="0.3">
      <c r="B38" s="165"/>
      <c r="C38" s="165" t="s">
        <v>294</v>
      </c>
      <c r="D38" s="165"/>
      <c r="E38" s="231"/>
      <c r="F38" s="231"/>
      <c r="G38" s="149" t="str">
        <f>IF(SUM('Notice de calcul'!$E$51:$E$58)+SUM('Notice de calcul'!$G$51:$G$58)&gt;0,"✔"," ")</f>
        <v xml:space="preserve"> </v>
      </c>
      <c r="I38" s="204"/>
      <c r="J38" s="108"/>
      <c r="K38" s="112" t="s">
        <v>295</v>
      </c>
      <c r="L38" s="112"/>
      <c r="P38" s="232" t="str">
        <f>IF(SUM('Notice de calcul'!$L$51:$L$64)+SUM('Notice de calcul'!$M$51:$M$64)&gt;0,"✔"," ")</f>
        <v xml:space="preserve"> </v>
      </c>
      <c r="R38" s="204"/>
      <c r="U38" s="116" t="s">
        <v>298</v>
      </c>
      <c r="Y38" s="232" t="str">
        <f>IF(SUM('Notice de calcul'!$U$51:$U$55)+'Notice de calcul'!$V$51+'Notice de calcul'!$V$52+'Notice de calcul'!$V$53+'Notice de calcul'!$AA$51+'Notice de calcul'!$AA$52+'Notice de calcul'!$AA$53+SUM('Notice de calcul'!$Z$51:$Z$56)&gt;0,"✔"," ")</f>
        <v xml:space="preserve"> </v>
      </c>
      <c r="Z38" s="209"/>
      <c r="AA38" s="116"/>
      <c r="AB38" s="116"/>
      <c r="AC38" s="116" t="s">
        <v>293</v>
      </c>
      <c r="AH38" s="232" t="str">
        <f>IF(SUM('Notice de calcul'!$AF$50:AF$55)+SUM('Notice de calcul'!$AI$50:$AI$55)&gt;0,"✔"," ")</f>
        <v xml:space="preserve"> </v>
      </c>
      <c r="AI38" s="131"/>
      <c r="AJ38" s="131"/>
      <c r="AK38" s="148"/>
      <c r="AM38" s="125"/>
      <c r="AN38" s="126"/>
      <c r="AO38" s="125"/>
      <c r="AP38" s="125"/>
      <c r="AQ38" s="125"/>
      <c r="AR38" s="125"/>
      <c r="AS38" s="124"/>
      <c r="AT38" s="124"/>
      <c r="AU38" s="133" t="s">
        <v>80</v>
      </c>
      <c r="AV38" s="134" t="s">
        <v>81</v>
      </c>
      <c r="AW38" s="124"/>
      <c r="AX38" s="125"/>
      <c r="BW38" s="111"/>
    </row>
    <row r="39" spans="2:75" ht="16.5" customHeight="1" thickBot="1" x14ac:dyDescent="0.3">
      <c r="C39" s="231"/>
      <c r="D39" s="231"/>
      <c r="E39" s="231"/>
      <c r="F39" s="231"/>
      <c r="G39" s="231"/>
      <c r="I39" s="204"/>
      <c r="J39" s="108"/>
      <c r="K39" s="112"/>
      <c r="L39" s="165"/>
      <c r="R39" s="204"/>
      <c r="U39" s="231"/>
      <c r="Y39" s="231"/>
      <c r="Z39" s="209"/>
      <c r="AC39" s="231"/>
      <c r="AJ39" s="108"/>
      <c r="AM39" s="125"/>
      <c r="AN39" s="126"/>
      <c r="AO39" s="125"/>
      <c r="AP39" s="125"/>
      <c r="AQ39" s="125"/>
      <c r="AR39" s="125"/>
      <c r="AS39" s="124"/>
      <c r="AT39" s="124"/>
      <c r="AU39" s="133"/>
      <c r="AV39" s="134"/>
      <c r="AW39" s="124"/>
      <c r="AX39" s="125"/>
      <c r="BW39" s="111"/>
    </row>
    <row r="40" spans="2:75" ht="16.5" customHeight="1" thickBot="1" x14ac:dyDescent="0.3">
      <c r="D40" s="231"/>
      <c r="E40" s="231"/>
      <c r="F40" s="231"/>
      <c r="I40" s="204"/>
      <c r="J40" s="108"/>
      <c r="K40" s="112" t="s">
        <v>296</v>
      </c>
      <c r="L40" s="112"/>
      <c r="P40" s="232" t="str">
        <f>IF(SUM('Notice de calcul'!$L$67:$L$68)+SUM('Notice de calcul'!$M$67:$M$68)&gt;0,"✔"," ")</f>
        <v xml:space="preserve"> </v>
      </c>
      <c r="R40" s="204"/>
      <c r="U40" s="165" t="s">
        <v>300</v>
      </c>
      <c r="V40" s="231"/>
      <c r="Y40" s="232" t="str">
        <f>IF(SUM('Notice de calcul'!$U$67:$U$68)&gt;0,"✔"," ")</f>
        <v xml:space="preserve"> </v>
      </c>
      <c r="Z40" s="209"/>
      <c r="AC40" s="116" t="s">
        <v>301</v>
      </c>
      <c r="AH40" s="232" t="str">
        <f>IF(('Notice de calcul'!AF54+'Notice de calcul'!AI54)&gt;0,"✔"," ")</f>
        <v xml:space="preserve"> </v>
      </c>
      <c r="AJ40" s="108"/>
      <c r="AM40" s="125"/>
      <c r="AN40" s="126"/>
      <c r="AO40" s="125"/>
      <c r="AP40" s="125"/>
      <c r="AQ40" s="125"/>
      <c r="AR40" s="125"/>
      <c r="AS40" s="124"/>
      <c r="AT40" s="124"/>
      <c r="AU40" s="133"/>
      <c r="AV40" s="134"/>
      <c r="AW40" s="124"/>
      <c r="AX40" s="125"/>
      <c r="BW40" s="111"/>
    </row>
    <row r="41" spans="2:75" ht="16.5" customHeight="1" thickBot="1" x14ac:dyDescent="0.3">
      <c r="B41" s="131"/>
      <c r="I41" s="204"/>
      <c r="J41" s="108"/>
      <c r="K41" s="165"/>
      <c r="L41" s="112"/>
      <c r="R41" s="204"/>
      <c r="V41" s="231"/>
      <c r="Z41" s="209"/>
      <c r="AC41" s="116"/>
      <c r="AH41" s="234"/>
      <c r="AI41" s="147"/>
      <c r="AJ41" s="108"/>
      <c r="AM41" s="125"/>
      <c r="AN41" s="126"/>
      <c r="AO41" s="125"/>
      <c r="AP41" s="125"/>
      <c r="AQ41" s="125"/>
      <c r="AR41" s="125"/>
      <c r="AS41" s="124"/>
      <c r="AT41" s="124"/>
      <c r="AU41" s="133"/>
      <c r="AV41" s="134"/>
      <c r="AW41" s="124"/>
      <c r="AX41" s="125"/>
      <c r="BW41" s="111"/>
    </row>
    <row r="42" spans="2:75" ht="16.5" customHeight="1" thickBot="1" x14ac:dyDescent="0.3">
      <c r="B42" s="131"/>
      <c r="D42" s="231"/>
      <c r="E42" s="231"/>
      <c r="I42" s="204"/>
      <c r="J42" s="108"/>
      <c r="K42" s="346" t="s">
        <v>297</v>
      </c>
      <c r="L42" s="112"/>
      <c r="P42" s="232" t="str">
        <f>IF(SUM('Notice de calcul'!$P$50:$P$52)&gt;0,"✔"," ")</f>
        <v xml:space="preserve"> </v>
      </c>
      <c r="R42" s="204"/>
      <c r="U42" s="116" t="s">
        <v>299</v>
      </c>
      <c r="V42" s="234"/>
      <c r="Y42" s="232" t="str">
        <f>IF(SUM('Notice de calcul'!$W$67:$W$68)&gt;0,"✔"," ")</f>
        <v xml:space="preserve"> </v>
      </c>
      <c r="Z42" s="209"/>
      <c r="AC42" s="116"/>
      <c r="AH42" s="234"/>
      <c r="AI42" s="147"/>
      <c r="AJ42" s="108"/>
      <c r="AM42" s="125"/>
      <c r="AN42" s="126"/>
      <c r="AO42" s="125"/>
      <c r="AP42" s="125"/>
      <c r="AT42" s="124"/>
      <c r="AU42" s="124">
        <f>ROUNDUP(T37/2,0)</f>
        <v>0</v>
      </c>
      <c r="AV42" s="135">
        <f>T37-AU42</f>
        <v>0</v>
      </c>
      <c r="AW42" s="124"/>
      <c r="AX42" s="125"/>
    </row>
    <row r="43" spans="2:75" ht="16.5" customHeight="1" thickBot="1" x14ac:dyDescent="0.3">
      <c r="B43" s="131"/>
      <c r="E43" s="231"/>
      <c r="I43" s="204"/>
      <c r="J43" s="108"/>
      <c r="K43" s="112"/>
      <c r="L43" s="112"/>
      <c r="R43" s="204"/>
      <c r="V43" s="231"/>
      <c r="Z43" s="233"/>
      <c r="AA43" s="116"/>
      <c r="AC43" s="116"/>
      <c r="AH43" s="234"/>
      <c r="AI43" s="147"/>
      <c r="AJ43" s="108"/>
      <c r="AM43" s="125"/>
      <c r="AN43" s="126"/>
      <c r="AO43" s="125"/>
      <c r="AP43" s="125"/>
      <c r="AT43" s="124"/>
      <c r="AU43" s="124" t="e">
        <f>ROUNDUP(#REF!/2,0)</f>
        <v>#REF!</v>
      </c>
      <c r="AV43" s="135" t="e">
        <f>#REF!-AU43</f>
        <v>#REF!</v>
      </c>
      <c r="AW43" s="124"/>
      <c r="AX43" s="125"/>
      <c r="BW43" s="111"/>
    </row>
    <row r="44" spans="2:75" ht="16.5" customHeight="1" thickBot="1" x14ac:dyDescent="0.3">
      <c r="B44" s="131"/>
      <c r="C44" s="224"/>
      <c r="D44" s="231"/>
      <c r="E44" s="231"/>
      <c r="F44" s="231"/>
      <c r="G44" s="231"/>
      <c r="H44" s="231"/>
      <c r="I44" s="235"/>
      <c r="J44" s="231"/>
      <c r="K44" s="112" t="s">
        <v>207</v>
      </c>
      <c r="L44" s="112"/>
      <c r="P44" s="232" t="str">
        <f>IF(SUM('Notice de calcul'!$P$54:$P$55)&gt;0,"✔"," ")</f>
        <v xml:space="preserve"> </v>
      </c>
      <c r="R44" s="204"/>
      <c r="U44" s="166" t="s">
        <v>305</v>
      </c>
      <c r="V44" s="231"/>
      <c r="Y44" s="232" t="str">
        <f>IF('Notice de calcul'!$U$61+'Notice de calcul'!$V$61&gt;0,"✔"," ")</f>
        <v xml:space="preserve"> </v>
      </c>
      <c r="Z44" s="233"/>
      <c r="AC44" s="116" t="s">
        <v>302</v>
      </c>
      <c r="AG44" s="146"/>
      <c r="AH44" s="232" t="str">
        <f>IF((SUM('Notice de calcul'!AF59:AF61)+SUM('Notice de calcul'!AI60:AI61))&gt;0,"✔"," ")</f>
        <v xml:space="preserve"> </v>
      </c>
      <c r="AI44" s="147"/>
      <c r="AJ44" s="108"/>
      <c r="AM44" s="125"/>
      <c r="AN44" s="126"/>
      <c r="AO44" s="125"/>
      <c r="AP44" s="125"/>
      <c r="AT44" s="124"/>
      <c r="AU44" s="124" t="e">
        <f>ROUNDUP(#REF!/2,0)</f>
        <v>#REF!</v>
      </c>
      <c r="AV44" s="135" t="e">
        <f>#REF!-AU44</f>
        <v>#REF!</v>
      </c>
      <c r="AW44" s="124"/>
      <c r="AX44" s="125"/>
    </row>
    <row r="45" spans="2:75" ht="16.5" customHeight="1" thickBot="1" x14ac:dyDescent="0.3">
      <c r="B45" s="165"/>
      <c r="C45" s="165" t="s">
        <v>293</v>
      </c>
      <c r="G45" s="149" t="str">
        <f>IF(SUM('Notice de calcul'!$E$60:$E$68)&gt;0,"✔"," ")</f>
        <v xml:space="preserve"> </v>
      </c>
      <c r="I45" s="204"/>
      <c r="J45" s="108"/>
      <c r="K45" s="112"/>
      <c r="L45" s="112"/>
      <c r="P45" s="234"/>
      <c r="R45" s="204"/>
      <c r="Y45" s="231"/>
      <c r="Z45" s="209"/>
      <c r="AC45" s="116"/>
      <c r="AH45" s="234"/>
      <c r="AI45" s="147"/>
      <c r="AJ45" s="108"/>
      <c r="AM45" s="125"/>
      <c r="AN45" s="126"/>
      <c r="AO45" s="125"/>
      <c r="AP45" s="125"/>
      <c r="AT45" s="124"/>
      <c r="AU45" s="124" t="e">
        <f>ROUNDUP(#REF!/2,0)</f>
        <v>#REF!</v>
      </c>
      <c r="AV45" s="135" t="e">
        <f>#REF!-AU45</f>
        <v>#REF!</v>
      </c>
      <c r="AW45" s="124"/>
      <c r="AX45" s="125"/>
      <c r="BW45" s="111"/>
    </row>
    <row r="46" spans="2:75" ht="16.5" customHeight="1" thickBot="1" x14ac:dyDescent="0.3">
      <c r="B46" s="165"/>
      <c r="F46" s="234"/>
      <c r="G46" s="234"/>
      <c r="I46" s="204"/>
      <c r="J46" s="108"/>
      <c r="K46" s="112" t="s">
        <v>125</v>
      </c>
      <c r="L46" s="112"/>
      <c r="M46" s="231"/>
      <c r="N46" s="231"/>
      <c r="O46" s="231"/>
      <c r="P46" s="232" t="str">
        <f>IF(SUM('Notice de calcul'!$P$57:$P$58)&gt;0,"✔"," ")</f>
        <v xml:space="preserve"> </v>
      </c>
      <c r="R46" s="204"/>
      <c r="U46" s="166" t="s">
        <v>353</v>
      </c>
      <c r="V46" s="231"/>
      <c r="Y46" s="258" t="str">
        <f>IF(SUM('Notice de calcul'!$U$55:$U$57)+SUM('Notice de calcul'!$V$55:$V$57)+SUM('Notice de calcul'!$Z$55:$Z$57)+SUM('Notice de calcul'!$AA$56:$AA$58)&gt;0,"✔"," ")</f>
        <v xml:space="preserve"> </v>
      </c>
      <c r="Z46" s="209"/>
      <c r="AA46" s="116"/>
      <c r="AC46" s="116"/>
      <c r="AH46" s="234"/>
      <c r="AI46" s="147"/>
      <c r="AJ46" s="108"/>
      <c r="AM46" s="125"/>
      <c r="AN46" s="126"/>
      <c r="AO46" s="125"/>
      <c r="AP46" s="125"/>
      <c r="AT46" s="124"/>
      <c r="AU46" s="124" t="e">
        <f>ROUNDUP(#REF!/2,0)</f>
        <v>#REF!</v>
      </c>
      <c r="AV46" s="135" t="e">
        <f>#REF!-AU46</f>
        <v>#REF!</v>
      </c>
      <c r="AW46" s="124"/>
      <c r="AX46" s="125"/>
    </row>
    <row r="47" spans="2:75" ht="16.5" customHeight="1" thickBot="1" x14ac:dyDescent="0.3">
      <c r="B47" s="131"/>
      <c r="I47" s="204"/>
      <c r="J47" s="108"/>
      <c r="K47" s="112"/>
      <c r="L47" s="165"/>
      <c r="M47" s="231"/>
      <c r="N47" s="231"/>
      <c r="O47" s="231"/>
      <c r="P47" s="234"/>
      <c r="R47" s="204"/>
      <c r="U47" s="166"/>
      <c r="Z47" s="209"/>
      <c r="AB47" s="234"/>
      <c r="AC47" s="116" t="s">
        <v>354</v>
      </c>
      <c r="AG47" s="231"/>
      <c r="AH47" s="232" t="str">
        <f>IF(('Notice de calcul'!$AF$59+'Notice de calcul'!AI57)&gt;0,"✔"," ")</f>
        <v xml:space="preserve"> </v>
      </c>
      <c r="AI47" s="147"/>
      <c r="AJ47" s="108"/>
      <c r="AM47" s="125"/>
      <c r="AN47" s="126"/>
      <c r="AO47" s="125"/>
      <c r="AP47" s="125"/>
      <c r="AT47" s="124"/>
      <c r="AU47" s="124"/>
      <c r="AV47" s="135"/>
      <c r="AW47" s="124"/>
      <c r="AX47" s="125"/>
    </row>
    <row r="48" spans="2:75" ht="16.5" customHeight="1" thickBot="1" x14ac:dyDescent="0.3">
      <c r="B48" s="131"/>
      <c r="C48" s="224"/>
      <c r="D48" s="231"/>
      <c r="E48" s="237"/>
      <c r="F48" s="237"/>
      <c r="G48" s="237"/>
      <c r="H48" s="231"/>
      <c r="I48" s="235"/>
      <c r="J48" s="231"/>
      <c r="K48" s="112" t="s">
        <v>166</v>
      </c>
      <c r="L48" s="112"/>
      <c r="P48" s="232" t="str">
        <f>IF(SUM('Notice de calcul'!$P$60:$P$61)&gt;0,"✔"," ")</f>
        <v xml:space="preserve"> </v>
      </c>
      <c r="R48" s="204"/>
      <c r="U48" s="166" t="s">
        <v>400</v>
      </c>
      <c r="V48" s="231"/>
      <c r="Y48" s="258" t="str">
        <f>IF(SUM('Notice de calcul'!$U$64:$U$66)+SUM('Notice de calcul'!$Z$64:$Z$66)&gt;0,"✔"," ")</f>
        <v xml:space="preserve"> </v>
      </c>
      <c r="Z48" s="233"/>
      <c r="AC48" s="116"/>
      <c r="AE48" s="231"/>
      <c r="AF48" s="238"/>
      <c r="AG48" s="146"/>
      <c r="AH48" s="234"/>
      <c r="AI48" s="147"/>
      <c r="AJ48" s="108"/>
      <c r="AM48" s="125"/>
      <c r="AN48" s="126"/>
      <c r="AO48" s="125"/>
      <c r="AP48" s="125"/>
      <c r="AT48" s="124"/>
      <c r="AU48" s="124"/>
      <c r="AV48" s="135"/>
      <c r="AW48" s="124"/>
      <c r="AX48" s="125"/>
    </row>
    <row r="49" spans="1:75" ht="16.5" customHeight="1" thickBot="1" x14ac:dyDescent="0.3">
      <c r="B49" s="131"/>
      <c r="I49" s="204"/>
      <c r="J49" s="108"/>
      <c r="K49" s="112"/>
      <c r="L49" s="112"/>
      <c r="P49" s="234"/>
      <c r="R49" s="204"/>
      <c r="T49" s="239"/>
      <c r="Z49" s="209"/>
      <c r="AA49" s="116"/>
      <c r="AC49" s="116"/>
      <c r="AH49" s="234"/>
      <c r="AI49" s="131"/>
      <c r="AM49" s="125"/>
      <c r="AN49" s="126"/>
      <c r="AO49" s="125"/>
      <c r="AP49" s="125"/>
      <c r="AT49" s="124"/>
      <c r="AU49" s="124"/>
      <c r="AV49" s="135"/>
      <c r="AW49" s="124"/>
      <c r="AX49" s="125"/>
    </row>
    <row r="50" spans="1:75" ht="16.5" customHeight="1" thickBot="1" x14ac:dyDescent="0.3">
      <c r="B50" s="131"/>
      <c r="D50" s="231"/>
      <c r="E50" s="231"/>
      <c r="F50" s="231"/>
      <c r="G50" s="231"/>
      <c r="H50" s="231"/>
      <c r="I50" s="235"/>
      <c r="J50" s="231"/>
      <c r="K50" s="112" t="s">
        <v>390</v>
      </c>
      <c r="L50" s="112"/>
      <c r="P50" s="232" t="str">
        <f>IF('Notice de calcul'!P62&gt;0,"✔"," ")</f>
        <v xml:space="preserve"> </v>
      </c>
      <c r="R50" s="204"/>
      <c r="S50" s="234"/>
      <c r="T50" s="116"/>
      <c r="Z50" s="209"/>
      <c r="AB50" s="231"/>
      <c r="AC50" s="116" t="s">
        <v>376</v>
      </c>
      <c r="AD50" s="231"/>
      <c r="AE50" s="236"/>
      <c r="AF50" s="231"/>
      <c r="AG50" s="131"/>
      <c r="AH50" s="232" t="str">
        <f>IF('Notice de calcul'!AI64&gt;0,"✔"," ")</f>
        <v xml:space="preserve"> </v>
      </c>
      <c r="AI50" s="131"/>
      <c r="AM50" s="125"/>
      <c r="AN50" s="126"/>
      <c r="AO50" s="125"/>
      <c r="AP50" s="125"/>
      <c r="AT50" s="124"/>
      <c r="AU50" s="124"/>
      <c r="AV50" s="135"/>
      <c r="AW50" s="124"/>
      <c r="AX50" s="125"/>
    </row>
    <row r="51" spans="1:75" ht="16.5" customHeight="1" x14ac:dyDescent="0.25">
      <c r="B51" s="131"/>
      <c r="C51" s="231"/>
      <c r="F51" s="231"/>
      <c r="G51" s="231"/>
      <c r="H51" s="231"/>
      <c r="I51" s="235"/>
      <c r="J51" s="231"/>
      <c r="K51" s="112"/>
      <c r="L51" s="112"/>
      <c r="P51" s="234"/>
      <c r="Q51" s="237"/>
      <c r="R51" s="204"/>
      <c r="S51" s="231"/>
      <c r="T51" s="237"/>
      <c r="U51" s="231"/>
      <c r="V51" s="234"/>
      <c r="W51" s="231"/>
      <c r="X51" s="231"/>
      <c r="Z51" s="233"/>
      <c r="AA51" s="116"/>
      <c r="AC51" s="116"/>
      <c r="AD51" s="234"/>
      <c r="AE51" s="236"/>
      <c r="AF51" s="231"/>
      <c r="AG51" s="131"/>
      <c r="AH51" s="234"/>
      <c r="AI51" s="131"/>
      <c r="AM51" s="125"/>
      <c r="AN51" s="126"/>
      <c r="AO51" s="125"/>
      <c r="AP51" s="125"/>
      <c r="AT51" s="124"/>
      <c r="AU51" s="124"/>
      <c r="AV51" s="135"/>
      <c r="AW51" s="124"/>
      <c r="AX51" s="125"/>
    </row>
    <row r="52" spans="1:75" ht="9" customHeight="1" x14ac:dyDescent="0.25">
      <c r="B52" s="131"/>
      <c r="C52" s="224"/>
      <c r="D52" s="224"/>
      <c r="E52" s="224"/>
      <c r="F52" s="224"/>
      <c r="G52" s="224"/>
      <c r="H52" s="231"/>
      <c r="I52" s="240"/>
      <c r="J52" s="231"/>
      <c r="K52" s="231"/>
      <c r="L52" s="231"/>
      <c r="M52" s="231"/>
      <c r="N52" s="165"/>
      <c r="O52" s="234"/>
      <c r="P52" s="234"/>
      <c r="Q52" s="234"/>
      <c r="R52" s="234"/>
      <c r="S52" s="234"/>
      <c r="T52" s="234"/>
      <c r="U52" s="234"/>
      <c r="V52" s="234"/>
      <c r="W52" s="231"/>
      <c r="X52" s="231"/>
      <c r="Y52" s="165"/>
      <c r="Z52" s="231"/>
      <c r="AA52" s="231"/>
      <c r="AB52" s="231"/>
      <c r="AC52" s="231"/>
      <c r="AD52" s="234"/>
      <c r="AE52" s="234"/>
      <c r="AF52" s="231"/>
      <c r="AG52" s="131"/>
      <c r="AH52" s="131"/>
      <c r="AI52" s="131"/>
      <c r="AM52" s="125"/>
      <c r="AN52" s="126"/>
      <c r="AO52" s="125"/>
      <c r="AP52" s="125"/>
      <c r="AT52" s="124"/>
      <c r="AU52" s="124"/>
      <c r="AV52" s="135"/>
      <c r="AW52" s="124"/>
      <c r="AX52" s="125"/>
    </row>
    <row r="53" spans="1:75" ht="18" x14ac:dyDescent="0.25">
      <c r="B53" s="356" t="s">
        <v>281</v>
      </c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  <c r="AA53" s="356"/>
      <c r="AB53" s="356"/>
      <c r="AC53" s="356"/>
      <c r="AD53" s="356"/>
      <c r="AE53" s="356"/>
      <c r="AF53" s="356"/>
      <c r="AG53" s="356"/>
      <c r="AH53" s="356"/>
      <c r="AI53" s="356"/>
      <c r="BW53" s="111"/>
    </row>
    <row r="54" spans="1:75" ht="5.25" customHeight="1" x14ac:dyDescent="0.25">
      <c r="BH54" s="111"/>
      <c r="BI54" s="111"/>
      <c r="BJ54" s="111"/>
    </row>
    <row r="55" spans="1:75" ht="24" customHeight="1" x14ac:dyDescent="0.25">
      <c r="B55" s="299"/>
      <c r="C55" s="300" t="s">
        <v>279</v>
      </c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2"/>
      <c r="T55" s="301"/>
      <c r="U55" s="301"/>
      <c r="V55" s="301" t="s">
        <v>304</v>
      </c>
      <c r="W55" s="301"/>
      <c r="X55" s="303"/>
      <c r="Y55" s="303"/>
      <c r="Z55" s="301"/>
      <c r="AA55" s="303"/>
      <c r="AB55" s="303"/>
      <c r="AC55" s="303"/>
      <c r="AD55" s="303"/>
      <c r="AE55" s="303"/>
      <c r="AF55" s="386" t="e">
        <f>+'Notice de calcul'!AF72:AH72</f>
        <v>#DIV/0!</v>
      </c>
      <c r="AG55" s="386"/>
      <c r="AH55" s="386"/>
      <c r="AI55" s="304"/>
      <c r="AQ55" s="125"/>
      <c r="AR55" s="125"/>
      <c r="AS55" s="125"/>
      <c r="AT55" s="125"/>
      <c r="AU55" s="125"/>
      <c r="AV55" s="125"/>
      <c r="AW55" s="125"/>
      <c r="BW55" s="111"/>
    </row>
    <row r="56" spans="1:75" ht="13.5" customHeight="1" x14ac:dyDescent="0.25">
      <c r="BH56" s="111"/>
      <c r="BI56" s="111"/>
      <c r="BJ56" s="111"/>
    </row>
    <row r="57" spans="1:75" ht="15.5" x14ac:dyDescent="0.25">
      <c r="A57" s="145"/>
      <c r="C57" s="150" t="s">
        <v>26</v>
      </c>
      <c r="D57" s="151"/>
      <c r="E57" s="151"/>
      <c r="F57" s="151"/>
      <c r="G57" s="151"/>
      <c r="H57" s="151"/>
      <c r="I57" s="151"/>
      <c r="J57" s="151"/>
      <c r="K57" s="382">
        <v>125</v>
      </c>
      <c r="L57" s="383"/>
      <c r="M57" s="382">
        <v>250</v>
      </c>
      <c r="N57" s="383"/>
      <c r="P57" s="382">
        <v>500</v>
      </c>
      <c r="Q57" s="383"/>
      <c r="R57" s="382">
        <v>1000</v>
      </c>
      <c r="S57" s="383"/>
      <c r="U57" s="382">
        <v>2000</v>
      </c>
      <c r="V57" s="383"/>
      <c r="W57" s="382">
        <v>4000</v>
      </c>
      <c r="X57" s="383"/>
      <c r="AJ57" s="138"/>
      <c r="AN57" s="107"/>
      <c r="BW57" s="111"/>
    </row>
    <row r="58" spans="1:75" ht="15.5" x14ac:dyDescent="0.25">
      <c r="C58" s="151"/>
      <c r="D58" s="152" t="s">
        <v>282</v>
      </c>
      <c r="E58" s="153"/>
      <c r="F58" s="153"/>
      <c r="G58" s="153"/>
      <c r="H58" s="153"/>
      <c r="I58" s="153"/>
      <c r="J58" s="153"/>
      <c r="K58" s="384" t="e">
        <f>+'Notice de calcul'!K77:L77</f>
        <v>#DIV/0!</v>
      </c>
      <c r="L58" s="385"/>
      <c r="M58" s="384" t="e">
        <f>+'Notice de calcul'!M77:N77</f>
        <v>#DIV/0!</v>
      </c>
      <c r="N58" s="385"/>
      <c r="P58" s="384" t="e">
        <f>+'Notice de calcul'!P77:R77</f>
        <v>#DIV/0!</v>
      </c>
      <c r="Q58" s="385"/>
      <c r="R58" s="384" t="e">
        <f>+'Notice de calcul'!S77</f>
        <v>#DIV/0!</v>
      </c>
      <c r="S58" s="387"/>
      <c r="U58" s="384" t="e">
        <f>+'Notice de calcul'!V77</f>
        <v>#DIV/0!</v>
      </c>
      <c r="V58" s="385"/>
      <c r="W58" s="384" t="e">
        <f>+'Notice de calcul'!Y77:Y77</f>
        <v>#DIV/0!</v>
      </c>
      <c r="X58" s="385"/>
      <c r="AJ58" s="138"/>
      <c r="AN58" s="107"/>
      <c r="BH58" s="145"/>
      <c r="BI58" s="145"/>
      <c r="BJ58" s="145"/>
    </row>
    <row r="59" spans="1:75" ht="15.5" x14ac:dyDescent="0.25">
      <c r="C59" s="151"/>
      <c r="D59" s="154" t="s">
        <v>283</v>
      </c>
      <c r="E59" s="155"/>
      <c r="F59" s="155"/>
      <c r="G59" s="155"/>
      <c r="H59" s="155"/>
      <c r="I59" s="155"/>
      <c r="J59" s="155"/>
      <c r="K59" s="379" t="e">
        <f>+'Notice de calcul'!K78:L78</f>
        <v>#DIV/0!</v>
      </c>
      <c r="L59" s="381"/>
      <c r="M59" s="379" t="e">
        <f>+'Notice de calcul'!M78:N78</f>
        <v>#DIV/0!</v>
      </c>
      <c r="N59" s="381"/>
      <c r="P59" s="379" t="e">
        <f>+'Notice de calcul'!P78:Q78</f>
        <v>#DIV/0!</v>
      </c>
      <c r="Q59" s="381"/>
      <c r="R59" s="379" t="e">
        <f>+'Notice de calcul'!S78</f>
        <v>#DIV/0!</v>
      </c>
      <c r="S59" s="380"/>
      <c r="U59" s="379" t="e">
        <f>+'Notice de calcul'!V78:V78</f>
        <v>#DIV/0!</v>
      </c>
      <c r="V59" s="381"/>
      <c r="W59" s="379" t="e">
        <f>+'Notice de calcul'!Y78:Y78</f>
        <v>#DIV/0!</v>
      </c>
      <c r="X59" s="381"/>
      <c r="AJ59" s="138"/>
      <c r="AN59" s="107"/>
      <c r="BW59" s="111"/>
    </row>
    <row r="60" spans="1:75" ht="16.5" customHeight="1" x14ac:dyDescent="0.25">
      <c r="C60" s="151"/>
      <c r="D60" s="151"/>
      <c r="E60" s="151"/>
      <c r="F60" s="151"/>
      <c r="G60" s="151"/>
      <c r="H60" s="156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J60" s="138"/>
      <c r="AN60" s="107"/>
      <c r="BI60" s="111"/>
    </row>
    <row r="61" spans="1:75" ht="15.5" x14ac:dyDescent="0.25">
      <c r="C61" s="150" t="s">
        <v>26</v>
      </c>
      <c r="D61" s="151"/>
      <c r="E61" s="151"/>
      <c r="F61" s="151"/>
      <c r="G61" s="151"/>
      <c r="H61" s="151"/>
      <c r="I61" s="151"/>
      <c r="J61" s="151"/>
      <c r="K61" s="382" t="s">
        <v>29</v>
      </c>
      <c r="L61" s="388"/>
      <c r="M61" s="388"/>
      <c r="N61" s="383"/>
      <c r="P61" s="382" t="s">
        <v>30</v>
      </c>
      <c r="Q61" s="392"/>
      <c r="R61" s="392"/>
      <c r="S61" s="393"/>
      <c r="T61" s="151"/>
      <c r="U61" s="382" t="s">
        <v>31</v>
      </c>
      <c r="V61" s="392"/>
      <c r="W61" s="392"/>
      <c r="X61" s="393"/>
      <c r="Y61" s="151"/>
      <c r="Z61" s="151"/>
      <c r="AJ61" s="138"/>
      <c r="AN61" s="107"/>
      <c r="BW61" s="111"/>
    </row>
    <row r="62" spans="1:75" ht="15.5" x14ac:dyDescent="0.25">
      <c r="C62" s="151"/>
      <c r="D62" s="152" t="s">
        <v>282</v>
      </c>
      <c r="E62" s="153"/>
      <c r="F62" s="153"/>
      <c r="G62" s="153"/>
      <c r="H62" s="153"/>
      <c r="I62" s="153"/>
      <c r="J62" s="153"/>
      <c r="K62" s="389" t="e">
        <f>+'Notice de calcul'!K81:N81</f>
        <v>#DIV/0!</v>
      </c>
      <c r="L62" s="390"/>
      <c r="M62" s="390"/>
      <c r="N62" s="391"/>
      <c r="P62" s="394" t="e">
        <f>+'Notice de calcul'!P81</f>
        <v>#DIV/0!</v>
      </c>
      <c r="Q62" s="395"/>
      <c r="R62" s="395"/>
      <c r="S62" s="396"/>
      <c r="T62" s="151"/>
      <c r="U62" s="394" t="e">
        <f>+'Notice de calcul'!U81:X81</f>
        <v>#DIV/0!</v>
      </c>
      <c r="V62" s="395"/>
      <c r="W62" s="395"/>
      <c r="X62" s="396"/>
      <c r="Y62" s="151"/>
      <c r="Z62" s="151"/>
      <c r="AJ62" s="138"/>
      <c r="AN62" s="107"/>
    </row>
    <row r="63" spans="1:75" ht="15.5" x14ac:dyDescent="0.25">
      <c r="C63" s="151"/>
      <c r="D63" s="154" t="s">
        <v>283</v>
      </c>
      <c r="E63" s="155"/>
      <c r="F63" s="155"/>
      <c r="G63" s="155"/>
      <c r="H63" s="155"/>
      <c r="I63" s="155"/>
      <c r="J63" s="155"/>
      <c r="K63" s="400" t="e">
        <f>+'Notice de calcul'!K82:N82</f>
        <v>#DIV/0!</v>
      </c>
      <c r="L63" s="401"/>
      <c r="M63" s="401"/>
      <c r="N63" s="402"/>
      <c r="P63" s="397" t="e">
        <f>+'Notice de calcul'!P82:T82</f>
        <v>#DIV/0!</v>
      </c>
      <c r="Q63" s="398"/>
      <c r="R63" s="398"/>
      <c r="S63" s="399"/>
      <c r="T63" s="151"/>
      <c r="U63" s="397" t="e">
        <f>+'Notice de calcul'!U82:X82</f>
        <v>#DIV/0!</v>
      </c>
      <c r="V63" s="398"/>
      <c r="W63" s="398"/>
      <c r="X63" s="399"/>
      <c r="Y63" s="151"/>
      <c r="Z63" s="151"/>
      <c r="AJ63" s="138"/>
      <c r="AN63" s="107"/>
      <c r="BJ63" s="14"/>
    </row>
    <row r="64" spans="1:75" ht="20.25" customHeight="1" x14ac:dyDescent="0.25">
      <c r="J64" s="108"/>
      <c r="AN64" s="107"/>
      <c r="BJ64" s="14"/>
    </row>
    <row r="65" spans="23:60" x14ac:dyDescent="0.25">
      <c r="W65" s="131"/>
      <c r="X65" s="131"/>
      <c r="AN65" s="107"/>
    </row>
    <row r="66" spans="23:60" x14ac:dyDescent="0.25">
      <c r="W66" s="131"/>
      <c r="X66" s="131"/>
      <c r="AN66" s="107"/>
    </row>
    <row r="67" spans="23:60" x14ac:dyDescent="0.25">
      <c r="W67" s="131"/>
      <c r="X67" s="131"/>
      <c r="AN67" s="107"/>
    </row>
    <row r="68" spans="23:60" x14ac:dyDescent="0.25">
      <c r="AN68" s="107"/>
      <c r="BH68" s="145"/>
    </row>
    <row r="69" spans="23:60" x14ac:dyDescent="0.25">
      <c r="AN69" s="107"/>
    </row>
    <row r="70" spans="23:60" x14ac:dyDescent="0.25">
      <c r="AN70" s="107"/>
    </row>
    <row r="71" spans="23:60" x14ac:dyDescent="0.25">
      <c r="AN71" s="107"/>
    </row>
    <row r="72" spans="23:60" x14ac:dyDescent="0.25">
      <c r="AN72" s="107"/>
    </row>
    <row r="73" spans="23:60" x14ac:dyDescent="0.25">
      <c r="AN73" s="107"/>
    </row>
    <row r="74" spans="23:60" x14ac:dyDescent="0.25">
      <c r="AN74" s="107"/>
    </row>
    <row r="75" spans="23:60" x14ac:dyDescent="0.25">
      <c r="AN75" s="107"/>
    </row>
    <row r="76" spans="23:60" x14ac:dyDescent="0.25">
      <c r="AN76" s="107"/>
    </row>
    <row r="77" spans="23:60" x14ac:dyDescent="0.25">
      <c r="AN77" s="107"/>
    </row>
  </sheetData>
  <sheetProtection algorithmName="SHA-512" hashValue="Yn4ZvqvdcMaSvfTiOK3tVPV7Y19xwqWe8553+848ZuTVIleqH2tMvWR1PRuzwKgewAOdxaw5jnRLbA6KLtos4A==" saltValue="ETkfTxUYcsHlvXqZfJy1yw==" spinCount="100000" sheet="1" objects="1" scenarios="1" selectLockedCells="1" selectUnlockedCells="1"/>
  <dataConsolidate/>
  <mergeCells count="56">
    <mergeCell ref="B29:AI29"/>
    <mergeCell ref="AF31:AH31"/>
    <mergeCell ref="D23:H23"/>
    <mergeCell ref="D24:H24"/>
    <mergeCell ref="T23:Y23"/>
    <mergeCell ref="AD23:AH23"/>
    <mergeCell ref="AD24:AH24"/>
    <mergeCell ref="T24:Y24"/>
    <mergeCell ref="K61:N61"/>
    <mergeCell ref="K62:N62"/>
    <mergeCell ref="U61:X61"/>
    <mergeCell ref="U62:X62"/>
    <mergeCell ref="U63:X63"/>
    <mergeCell ref="P62:S62"/>
    <mergeCell ref="P63:S63"/>
    <mergeCell ref="P61:S61"/>
    <mergeCell ref="K63:N63"/>
    <mergeCell ref="W58:X58"/>
    <mergeCell ref="AF55:AH55"/>
    <mergeCell ref="R57:S57"/>
    <mergeCell ref="U57:V57"/>
    <mergeCell ref="W57:X57"/>
    <mergeCell ref="R58:S58"/>
    <mergeCell ref="U58:V58"/>
    <mergeCell ref="F6:H6"/>
    <mergeCell ref="L23:P23"/>
    <mergeCell ref="R59:S59"/>
    <mergeCell ref="U59:V59"/>
    <mergeCell ref="B53:AI53"/>
    <mergeCell ref="K57:L57"/>
    <mergeCell ref="M57:N57"/>
    <mergeCell ref="P57:Q57"/>
    <mergeCell ref="K58:L58"/>
    <mergeCell ref="M58:N58"/>
    <mergeCell ref="P58:Q58"/>
    <mergeCell ref="K59:L59"/>
    <mergeCell ref="M59:N59"/>
    <mergeCell ref="P59:Q59"/>
    <mergeCell ref="AF32:AH32"/>
    <mergeCell ref="W59:X59"/>
    <mergeCell ref="AF33:AH33"/>
    <mergeCell ref="L24:P24"/>
    <mergeCell ref="B34:AI34"/>
    <mergeCell ref="B5:AI5"/>
    <mergeCell ref="AE6:AH6"/>
    <mergeCell ref="B8:AI8"/>
    <mergeCell ref="AG26:AI26"/>
    <mergeCell ref="T18:Y18"/>
    <mergeCell ref="Z19:AE19"/>
    <mergeCell ref="B21:AI21"/>
    <mergeCell ref="Z16:AE16"/>
    <mergeCell ref="AC12:AH12"/>
    <mergeCell ref="AC10:AH10"/>
    <mergeCell ref="AC14:AH14"/>
    <mergeCell ref="H10:Q10"/>
    <mergeCell ref="H12:Q12"/>
  </mergeCells>
  <phoneticPr fontId="73" type="noConversion"/>
  <dataValidations count="1">
    <dataValidation type="whole" operator="greaterThanOrEqual" allowBlank="1" showInputMessage="1" showErrorMessage="1" sqref="T18" xr:uid="{00000000-0002-0000-0000-000000000000}">
      <formula1>0</formula1>
    </dataValidation>
  </dataValidations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75" orientation="portrait" r:id="rId1"/>
  <rowBreaks count="1" manualBreakCount="1">
    <brk id="52" min="1" max="3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BW106"/>
  <sheetViews>
    <sheetView showGridLines="0" zoomScale="86" zoomScaleNormal="86" zoomScaleSheetLayoutView="85" zoomScalePageLayoutView="70" workbookViewId="0">
      <selection activeCell="W13" sqref="W13"/>
    </sheetView>
  </sheetViews>
  <sheetFormatPr baseColWidth="10" defaultColWidth="11.453125" defaultRowHeight="13" x14ac:dyDescent="0.25"/>
  <cols>
    <col min="1" max="1" width="1" style="107" customWidth="1"/>
    <col min="2" max="2" width="2.1796875" style="107" customWidth="1"/>
    <col min="3" max="4" width="3.453125" style="107" customWidth="1"/>
    <col min="5" max="5" width="4.6328125" style="107" customWidth="1"/>
    <col min="6" max="6" width="1.6328125" style="107" customWidth="1"/>
    <col min="7" max="7" width="5.08984375" style="107" customWidth="1"/>
    <col min="8" max="8" width="1.54296875" style="107" customWidth="1"/>
    <col min="9" max="9" width="5" style="107" customWidth="1"/>
    <col min="10" max="10" width="1.6328125" style="107" customWidth="1"/>
    <col min="11" max="11" width="3.1796875" style="107" customWidth="1"/>
    <col min="12" max="13" width="4.36328125" style="107" customWidth="1"/>
    <col min="14" max="14" width="5.08984375" style="107" customWidth="1"/>
    <col min="15" max="15" width="5.6328125" style="107" customWidth="1"/>
    <col min="16" max="16" width="5.54296875" style="107" customWidth="1"/>
    <col min="17" max="18" width="4.6328125" style="107" customWidth="1"/>
    <col min="19" max="20" width="2" style="107" customWidth="1"/>
    <col min="21" max="22" width="4.36328125" style="107" customWidth="1"/>
    <col min="23" max="23" width="3.90625" style="107" customWidth="1"/>
    <col min="24" max="24" width="3.6328125" style="107" customWidth="1"/>
    <col min="25" max="25" width="2.6328125" style="107" customWidth="1"/>
    <col min="26" max="27" width="3.453125" style="107" customWidth="1"/>
    <col min="28" max="28" width="1" style="107" customWidth="1"/>
    <col min="29" max="29" width="2" style="107" customWidth="1"/>
    <col min="30" max="30" width="1.6328125" style="107" customWidth="1"/>
    <col min="31" max="31" width="7.1796875" style="107" customWidth="1"/>
    <col min="32" max="32" width="4.6328125" style="107" customWidth="1"/>
    <col min="33" max="33" width="3.54296875" style="107" customWidth="1"/>
    <col min="34" max="34" width="5.54296875" style="107" customWidth="1"/>
    <col min="35" max="35" width="4.6328125" style="107" customWidth="1"/>
    <col min="36" max="36" width="6.1796875" style="107" bestFit="1" customWidth="1"/>
    <col min="37" max="37" width="8" style="107" bestFit="1" customWidth="1"/>
    <col min="38" max="38" width="9" style="107" customWidth="1"/>
    <col min="39" max="39" width="5.54296875" style="107" bestFit="1" customWidth="1"/>
    <col min="40" max="40" width="16.1796875" style="110" customWidth="1"/>
    <col min="41" max="41" width="10.6328125" style="107" customWidth="1"/>
    <col min="42" max="42" width="12" style="107" customWidth="1"/>
    <col min="43" max="44" width="11.453125" style="107"/>
    <col min="45" max="45" width="27.6328125" style="107" bestFit="1" customWidth="1"/>
    <col min="46" max="59" width="11.453125" style="107"/>
    <col min="60" max="60" width="18.1796875" style="107" bestFit="1" customWidth="1"/>
    <col min="61" max="61" width="6.1796875" style="107" bestFit="1" customWidth="1"/>
    <col min="62" max="62" width="5" style="107" bestFit="1" customWidth="1"/>
    <col min="63" max="63" width="9.6328125" style="107" bestFit="1" customWidth="1"/>
    <col min="64" max="64" width="5.54296875" style="107" bestFit="1" customWidth="1"/>
    <col min="65" max="65" width="5.6328125" style="107" bestFit="1" customWidth="1"/>
    <col min="66" max="67" width="5.54296875" style="107" bestFit="1" customWidth="1"/>
    <col min="68" max="68" width="2" style="107" bestFit="1" customWidth="1"/>
    <col min="69" max="69" width="5.54296875" style="107" bestFit="1" customWidth="1"/>
    <col min="70" max="70" width="11.453125" style="107"/>
    <col min="71" max="71" width="2" style="107" bestFit="1" customWidth="1"/>
    <col min="72" max="100" width="11.453125" style="107"/>
    <col min="101" max="101" width="5.6328125" style="107" bestFit="1" customWidth="1"/>
    <col min="102" max="16384" width="11.453125" style="107"/>
  </cols>
  <sheetData>
    <row r="1" spans="2:75" ht="12" customHeight="1" x14ac:dyDescent="0.25"/>
    <row r="2" spans="2:75" s="111" customFormat="1" ht="19.5" customHeight="1" x14ac:dyDescent="0.25"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BW2" s="111">
        <v>1</v>
      </c>
    </row>
    <row r="3" spans="2:75" ht="29.25" customHeight="1" x14ac:dyDescent="0.25">
      <c r="BS3" s="14"/>
    </row>
    <row r="4" spans="2:75" ht="14.4" customHeight="1" x14ac:dyDescent="0.25">
      <c r="I4" s="343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3"/>
      <c r="V4" s="344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BS4" s="14"/>
    </row>
    <row r="5" spans="2:75" ht="14" x14ac:dyDescent="0.25">
      <c r="B5" s="423" t="s">
        <v>211</v>
      </c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  <c r="AC5" s="423"/>
      <c r="AD5" s="423"/>
      <c r="AE5" s="423"/>
      <c r="AF5" s="423"/>
      <c r="AG5" s="423"/>
      <c r="AH5" s="423"/>
      <c r="AI5" s="423"/>
    </row>
    <row r="6" spans="2:75" ht="20.25" customHeight="1" x14ac:dyDescent="0.25">
      <c r="B6" s="210" t="s">
        <v>212</v>
      </c>
      <c r="F6" s="429"/>
      <c r="G6" s="430"/>
      <c r="H6" s="430"/>
      <c r="I6" s="430"/>
      <c r="J6" s="430"/>
      <c r="K6" s="430"/>
      <c r="L6" s="430"/>
      <c r="M6" s="430"/>
      <c r="N6" s="430"/>
      <c r="O6" s="430"/>
      <c r="Q6" s="210" t="s">
        <v>214</v>
      </c>
      <c r="R6" s="111"/>
      <c r="T6" s="449"/>
      <c r="U6" s="450"/>
      <c r="V6" s="450"/>
      <c r="W6" s="450"/>
      <c r="X6" s="450"/>
      <c r="Y6" s="450"/>
      <c r="Z6" s="450"/>
      <c r="AA6" s="113"/>
      <c r="AB6" s="111" t="s">
        <v>2</v>
      </c>
      <c r="AE6" s="431"/>
      <c r="AF6" s="432"/>
      <c r="AG6" s="432"/>
      <c r="AH6" s="432"/>
    </row>
    <row r="7" spans="2:75" ht="20.25" customHeight="1" x14ac:dyDescent="0.25">
      <c r="B7" s="210" t="s">
        <v>213</v>
      </c>
      <c r="G7" s="429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</row>
    <row r="8" spans="2:75" ht="4.5" customHeight="1" x14ac:dyDescent="0.25">
      <c r="BS8" s="14"/>
      <c r="BW8" s="107">
        <v>7</v>
      </c>
    </row>
    <row r="9" spans="2:75" s="111" customFormat="1" ht="14.5" x14ac:dyDescent="0.25">
      <c r="B9" s="423" t="s">
        <v>215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BS9" s="107"/>
      <c r="BT9" s="107"/>
      <c r="BW9" s="107">
        <v>8</v>
      </c>
    </row>
    <row r="10" spans="2:75" ht="6" customHeight="1" x14ac:dyDescent="0.25">
      <c r="T10" s="112"/>
      <c r="BW10" s="111">
        <v>9</v>
      </c>
    </row>
    <row r="11" spans="2:75" ht="14.5" x14ac:dyDescent="0.35">
      <c r="C11" s="211" t="s">
        <v>216</v>
      </c>
      <c r="D11" s="111"/>
      <c r="E11" s="111"/>
      <c r="F11" s="111"/>
      <c r="G11" s="111"/>
      <c r="H11" s="433"/>
      <c r="I11" s="434"/>
      <c r="J11" s="434"/>
      <c r="K11" s="434"/>
      <c r="L11" s="434"/>
      <c r="M11" s="434"/>
      <c r="N11" s="434"/>
      <c r="O11" s="434"/>
      <c r="P11" s="434"/>
      <c r="Q11" s="435"/>
      <c r="R11" s="113"/>
      <c r="T11" s="211" t="s">
        <v>218</v>
      </c>
      <c r="AB11" s="114" t="s">
        <v>3</v>
      </c>
      <c r="AC11" s="446"/>
      <c r="AD11" s="447"/>
      <c r="AE11" s="447"/>
      <c r="AF11" s="447"/>
      <c r="AG11" s="447"/>
      <c r="AH11" s="448"/>
      <c r="AI11" s="111" t="s">
        <v>4</v>
      </c>
      <c r="BW11" s="107">
        <v>10</v>
      </c>
    </row>
    <row r="12" spans="2:75" ht="3" customHeight="1" x14ac:dyDescent="0.35">
      <c r="C12" s="212"/>
      <c r="D12" s="111"/>
      <c r="E12" s="111"/>
      <c r="F12" s="111"/>
      <c r="G12" s="111"/>
      <c r="H12" s="111"/>
      <c r="I12" s="111"/>
      <c r="J12" s="115"/>
      <c r="K12" s="115"/>
      <c r="L12" s="116"/>
      <c r="M12" s="115"/>
      <c r="N12" s="115"/>
      <c r="O12" s="115"/>
      <c r="P12" s="111"/>
      <c r="Q12" s="111"/>
      <c r="R12" s="111"/>
      <c r="T12" s="212"/>
      <c r="Z12" s="111"/>
      <c r="AC12" s="143"/>
      <c r="AD12" s="144"/>
      <c r="AE12" s="143"/>
      <c r="AF12" s="143"/>
      <c r="AG12" s="143"/>
      <c r="AH12" s="143"/>
      <c r="AI12" s="111"/>
      <c r="BW12" s="111">
        <v>11</v>
      </c>
    </row>
    <row r="13" spans="2:75" ht="14.5" x14ac:dyDescent="0.35">
      <c r="C13" s="211" t="s">
        <v>217</v>
      </c>
      <c r="D13" s="111"/>
      <c r="E13" s="111"/>
      <c r="F13" s="111"/>
      <c r="G13" s="111"/>
      <c r="H13" s="433"/>
      <c r="I13" s="434"/>
      <c r="J13" s="434"/>
      <c r="K13" s="434"/>
      <c r="L13" s="434"/>
      <c r="M13" s="434"/>
      <c r="N13" s="434"/>
      <c r="O13" s="434"/>
      <c r="P13" s="434"/>
      <c r="Q13" s="435"/>
      <c r="R13" s="113"/>
      <c r="T13" s="211" t="s">
        <v>219</v>
      </c>
      <c r="AB13" s="114" t="s">
        <v>5</v>
      </c>
      <c r="AC13" s="446"/>
      <c r="AD13" s="447"/>
      <c r="AE13" s="447"/>
      <c r="AF13" s="447"/>
      <c r="AG13" s="447"/>
      <c r="AH13" s="448"/>
      <c r="AI13" s="111" t="s">
        <v>4</v>
      </c>
      <c r="BS13" s="14" t="s">
        <v>84</v>
      </c>
      <c r="BT13" s="107" t="s">
        <v>262</v>
      </c>
      <c r="BW13" s="107">
        <v>12</v>
      </c>
    </row>
    <row r="14" spans="2:75" ht="3" customHeight="1" x14ac:dyDescent="0.35"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P14" s="111"/>
      <c r="Q14" s="111"/>
      <c r="R14" s="111"/>
      <c r="T14" s="212"/>
      <c r="U14" s="115"/>
      <c r="V14" s="115"/>
      <c r="W14" s="115"/>
      <c r="X14" s="115"/>
      <c r="Y14" s="115"/>
      <c r="Z14" s="111"/>
      <c r="AC14" s="143"/>
      <c r="AD14" s="144"/>
      <c r="AE14" s="143"/>
      <c r="AF14" s="143"/>
      <c r="AG14" s="143"/>
      <c r="AH14" s="143"/>
      <c r="AI14" s="111"/>
      <c r="BT14" s="107" t="s">
        <v>263</v>
      </c>
      <c r="BW14" s="111">
        <v>13</v>
      </c>
    </row>
    <row r="15" spans="2:75" ht="15.75" customHeight="1" x14ac:dyDescent="0.35"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T15" s="211" t="s">
        <v>220</v>
      </c>
      <c r="AB15" s="114" t="s">
        <v>6</v>
      </c>
      <c r="AC15" s="446"/>
      <c r="AD15" s="447"/>
      <c r="AE15" s="447"/>
      <c r="AF15" s="447"/>
      <c r="AG15" s="447"/>
      <c r="AH15" s="448"/>
      <c r="AI15" s="111" t="s">
        <v>4</v>
      </c>
      <c r="BT15" s="107" t="s">
        <v>264</v>
      </c>
      <c r="BW15" s="107">
        <v>14</v>
      </c>
    </row>
    <row r="16" spans="2:75" ht="19.5" hidden="1" customHeight="1" x14ac:dyDescent="0.25"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P16" s="111"/>
      <c r="Q16" s="111"/>
      <c r="R16" s="111"/>
      <c r="BT16" s="107" t="s">
        <v>265</v>
      </c>
      <c r="BW16" s="111">
        <v>15</v>
      </c>
    </row>
    <row r="17" spans="2:75" ht="19.5" hidden="1" customHeight="1" x14ac:dyDescent="0.25">
      <c r="C17" s="111" t="s">
        <v>7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S17" s="114" t="s">
        <v>8</v>
      </c>
      <c r="Z17" s="453">
        <f>AC11*AC13*AC15</f>
        <v>0</v>
      </c>
      <c r="AA17" s="454"/>
      <c r="AB17" s="454"/>
      <c r="AC17" s="454"/>
      <c r="AD17" s="454"/>
      <c r="AE17" s="455"/>
      <c r="AF17" s="111" t="s">
        <v>9</v>
      </c>
      <c r="AG17" s="111"/>
      <c r="AH17" s="111"/>
      <c r="AI17" s="2"/>
      <c r="BT17" s="107" t="s">
        <v>266</v>
      </c>
      <c r="BW17" s="107">
        <v>20</v>
      </c>
    </row>
    <row r="18" spans="2:75" ht="19.5" hidden="1" customHeight="1" x14ac:dyDescent="0.25"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Z18" s="117"/>
      <c r="AA18" s="117"/>
      <c r="AB18" s="117"/>
      <c r="AC18" s="117"/>
      <c r="AD18" s="117"/>
      <c r="AE18" s="117"/>
      <c r="AF18" s="111"/>
      <c r="AG18" s="111"/>
      <c r="AH18" s="111"/>
      <c r="AI18" s="3"/>
      <c r="BW18" s="111">
        <v>21</v>
      </c>
    </row>
    <row r="19" spans="2:75" ht="19.5" hidden="1" customHeight="1" x14ac:dyDescent="0.25">
      <c r="C19" s="111" t="s">
        <v>10</v>
      </c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T19" s="453"/>
      <c r="U19" s="454"/>
      <c r="V19" s="454"/>
      <c r="W19" s="454"/>
      <c r="X19" s="454"/>
      <c r="Y19" s="455"/>
      <c r="Z19" s="111" t="s">
        <v>11</v>
      </c>
      <c r="AG19" s="111"/>
      <c r="AH19" s="111"/>
      <c r="AI19" s="4"/>
      <c r="BW19" s="107">
        <v>22</v>
      </c>
    </row>
    <row r="20" spans="2:75" ht="19.5" hidden="1" customHeight="1" x14ac:dyDescent="0.25">
      <c r="C20" s="5" t="s">
        <v>12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Z20" s="439" t="e">
        <f>AC11*AC13/T19</f>
        <v>#DIV/0!</v>
      </c>
      <c r="AA20" s="440"/>
      <c r="AB20" s="440"/>
      <c r="AC20" s="440"/>
      <c r="AD20" s="440"/>
      <c r="AE20" s="441"/>
      <c r="AF20" s="111" t="s">
        <v>13</v>
      </c>
      <c r="AG20" s="111"/>
      <c r="AH20" s="111"/>
      <c r="BW20" s="107">
        <v>24</v>
      </c>
    </row>
    <row r="21" spans="2:75" ht="4.5" customHeight="1" x14ac:dyDescent="0.25">
      <c r="BW21" s="111">
        <v>25</v>
      </c>
    </row>
    <row r="22" spans="2:75" s="111" customFormat="1" ht="16.5" customHeight="1" x14ac:dyDescent="0.25">
      <c r="B22" s="423" t="s">
        <v>221</v>
      </c>
      <c r="C22" s="423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23"/>
      <c r="Q22" s="423"/>
      <c r="R22" s="423"/>
      <c r="S22" s="423"/>
      <c r="T22" s="423"/>
      <c r="U22" s="423"/>
      <c r="V22" s="423"/>
      <c r="W22" s="423"/>
      <c r="X22" s="423"/>
      <c r="Y22" s="423"/>
      <c r="Z22" s="423"/>
      <c r="AA22" s="423"/>
      <c r="AB22" s="423"/>
      <c r="AC22" s="423"/>
      <c r="AD22" s="423"/>
      <c r="AE22" s="423"/>
      <c r="AF22" s="423"/>
      <c r="AG22" s="423"/>
      <c r="AH22" s="423"/>
      <c r="AI22" s="423"/>
      <c r="BT22" s="212"/>
      <c r="BW22" s="107">
        <v>26</v>
      </c>
    </row>
    <row r="23" spans="2:75" ht="3" customHeight="1" x14ac:dyDescent="0.25">
      <c r="BW23" s="111">
        <v>27</v>
      </c>
    </row>
    <row r="24" spans="2:75" ht="14.5" x14ac:dyDescent="0.25">
      <c r="B24" s="295" t="s">
        <v>222</v>
      </c>
      <c r="C24" s="296"/>
      <c r="D24" s="296"/>
      <c r="E24" s="296"/>
      <c r="F24" s="296"/>
      <c r="G24" s="296"/>
      <c r="H24" s="296"/>
      <c r="I24" s="297"/>
      <c r="J24" s="436" t="s">
        <v>14</v>
      </c>
      <c r="K24" s="437"/>
      <c r="L24" s="438"/>
      <c r="N24" s="295" t="s">
        <v>228</v>
      </c>
      <c r="O24" s="296"/>
      <c r="P24" s="296"/>
      <c r="Q24" s="296"/>
      <c r="R24" s="296"/>
      <c r="S24" s="296"/>
      <c r="T24" s="296"/>
      <c r="U24" s="296"/>
      <c r="V24" s="296"/>
      <c r="W24" s="436" t="s">
        <v>14</v>
      </c>
      <c r="X24" s="437"/>
      <c r="Y24" s="438"/>
      <c r="AA24" s="295" t="s">
        <v>235</v>
      </c>
      <c r="AB24" s="296"/>
      <c r="AC24" s="296"/>
      <c r="AD24" s="296"/>
      <c r="AE24" s="296"/>
      <c r="AF24" s="296"/>
      <c r="AG24" s="296"/>
      <c r="AH24" s="436" t="s">
        <v>14</v>
      </c>
      <c r="AI24" s="438"/>
      <c r="BW24" s="107">
        <v>28</v>
      </c>
    </row>
    <row r="25" spans="2:75" ht="14.5" x14ac:dyDescent="0.25">
      <c r="B25" s="213" t="s">
        <v>223</v>
      </c>
      <c r="C25" s="6"/>
      <c r="D25" s="6"/>
      <c r="E25" s="118"/>
      <c r="F25" s="118"/>
      <c r="G25" s="118"/>
      <c r="H25" s="118"/>
      <c r="I25" s="119"/>
      <c r="J25" s="461"/>
      <c r="K25" s="462"/>
      <c r="L25" s="458"/>
      <c r="N25" s="216" t="s">
        <v>229</v>
      </c>
      <c r="O25" s="96"/>
      <c r="P25" s="96"/>
      <c r="Q25" s="96"/>
      <c r="R25" s="96"/>
      <c r="S25" s="96"/>
      <c r="T25" s="96"/>
      <c r="U25" s="96"/>
      <c r="V25" s="96"/>
      <c r="W25" s="457"/>
      <c r="X25" s="462"/>
      <c r="Y25" s="458"/>
      <c r="AA25" s="216" t="s">
        <v>223</v>
      </c>
      <c r="AB25" s="96"/>
      <c r="AC25" s="96"/>
      <c r="AD25" s="96"/>
      <c r="AE25" s="96"/>
      <c r="AF25" s="96"/>
      <c r="AG25" s="96"/>
      <c r="AH25" s="457"/>
      <c r="AI25" s="458"/>
      <c r="BW25" s="111">
        <v>29</v>
      </c>
    </row>
    <row r="26" spans="2:75" ht="14.5" x14ac:dyDescent="0.25">
      <c r="B26" s="214" t="s">
        <v>224</v>
      </c>
      <c r="C26" s="7"/>
      <c r="D26" s="7"/>
      <c r="E26" s="120"/>
      <c r="F26" s="120"/>
      <c r="G26" s="120"/>
      <c r="H26" s="120"/>
      <c r="I26" s="121"/>
      <c r="J26" s="463"/>
      <c r="K26" s="464"/>
      <c r="L26" s="460"/>
      <c r="N26" s="217" t="s">
        <v>230</v>
      </c>
      <c r="O26" s="98"/>
      <c r="P26" s="98"/>
      <c r="Q26" s="98"/>
      <c r="R26" s="98"/>
      <c r="S26" s="98"/>
      <c r="T26" s="98"/>
      <c r="U26" s="98"/>
      <c r="V26" s="98"/>
      <c r="W26" s="459"/>
      <c r="X26" s="464"/>
      <c r="Y26" s="460"/>
      <c r="AA26" s="217" t="s">
        <v>236</v>
      </c>
      <c r="AB26" s="98"/>
      <c r="AC26" s="98"/>
      <c r="AD26" s="98"/>
      <c r="AE26" s="98"/>
      <c r="AF26" s="98"/>
      <c r="AG26" s="98"/>
      <c r="AH26" s="459"/>
      <c r="AI26" s="460"/>
      <c r="BW26" s="107">
        <v>30</v>
      </c>
    </row>
    <row r="27" spans="2:75" ht="14.5" x14ac:dyDescent="0.25">
      <c r="B27" s="217" t="s">
        <v>225</v>
      </c>
      <c r="C27" s="254"/>
      <c r="D27" s="254"/>
      <c r="E27" s="120"/>
      <c r="F27" s="120"/>
      <c r="G27" s="120"/>
      <c r="H27" s="120"/>
      <c r="I27" s="121"/>
      <c r="J27" s="463"/>
      <c r="K27" s="464"/>
      <c r="L27" s="460"/>
      <c r="N27" s="217" t="s">
        <v>231</v>
      </c>
      <c r="O27" s="98"/>
      <c r="P27" s="98"/>
      <c r="Q27" s="98"/>
      <c r="R27" s="98"/>
      <c r="S27" s="98"/>
      <c r="T27" s="98"/>
      <c r="U27" s="98"/>
      <c r="V27" s="98"/>
      <c r="W27" s="459"/>
      <c r="X27" s="464"/>
      <c r="Y27" s="460"/>
      <c r="AA27" s="219" t="s">
        <v>237</v>
      </c>
      <c r="AB27" s="98"/>
      <c r="AC27" s="98"/>
      <c r="AD27" s="98"/>
      <c r="AE27" s="98"/>
      <c r="AF27" s="98"/>
      <c r="AG27" s="98"/>
      <c r="AH27" s="459"/>
      <c r="AI27" s="460"/>
      <c r="BW27" s="111">
        <v>31</v>
      </c>
    </row>
    <row r="28" spans="2:75" ht="14.5" x14ac:dyDescent="0.25">
      <c r="B28" s="214" t="s">
        <v>226</v>
      </c>
      <c r="C28" s="7"/>
      <c r="D28" s="7"/>
      <c r="E28" s="120"/>
      <c r="F28" s="120"/>
      <c r="G28" s="120"/>
      <c r="H28" s="120"/>
      <c r="I28" s="121"/>
      <c r="J28" s="463"/>
      <c r="K28" s="464"/>
      <c r="L28" s="460"/>
      <c r="N28" s="218" t="s">
        <v>232</v>
      </c>
      <c r="O28" s="97"/>
      <c r="P28" s="97"/>
      <c r="Q28" s="97"/>
      <c r="R28" s="97"/>
      <c r="S28" s="97"/>
      <c r="T28" s="97"/>
      <c r="U28" s="97"/>
      <c r="V28" s="97"/>
      <c r="W28" s="444"/>
      <c r="X28" s="466"/>
      <c r="Y28" s="445"/>
      <c r="AA28" s="219" t="s">
        <v>238</v>
      </c>
      <c r="AB28" s="98"/>
      <c r="AC28" s="98"/>
      <c r="AD28" s="98"/>
      <c r="AE28" s="98"/>
      <c r="AF28" s="98"/>
      <c r="AG28" s="98"/>
      <c r="AH28" s="459"/>
      <c r="AI28" s="460"/>
      <c r="BW28" s="107">
        <v>32</v>
      </c>
    </row>
    <row r="29" spans="2:75" ht="14.5" x14ac:dyDescent="0.25">
      <c r="B29" s="215" t="s">
        <v>227</v>
      </c>
      <c r="C29" s="100"/>
      <c r="D29" s="100"/>
      <c r="E29" s="122"/>
      <c r="F29" s="122"/>
      <c r="G29" s="122"/>
      <c r="H29" s="122"/>
      <c r="I29" s="123"/>
      <c r="J29" s="465"/>
      <c r="K29" s="466"/>
      <c r="L29" s="445"/>
      <c r="N29" s="295" t="s">
        <v>233</v>
      </c>
      <c r="O29" s="296"/>
      <c r="P29" s="296"/>
      <c r="Q29" s="296"/>
      <c r="R29" s="296"/>
      <c r="S29" s="296"/>
      <c r="T29" s="296"/>
      <c r="U29" s="296"/>
      <c r="V29" s="296"/>
      <c r="W29" s="436" t="s">
        <v>14</v>
      </c>
      <c r="X29" s="437"/>
      <c r="Y29" s="438"/>
      <c r="AA29" s="219" t="s">
        <v>239</v>
      </c>
      <c r="AB29" s="98"/>
      <c r="AC29" s="98"/>
      <c r="AD29" s="98"/>
      <c r="AE29" s="98"/>
      <c r="AF29" s="98"/>
      <c r="AG29" s="98"/>
      <c r="AH29" s="459"/>
      <c r="AI29" s="460"/>
      <c r="BW29" s="111">
        <v>33</v>
      </c>
    </row>
    <row r="30" spans="2:75" ht="16.5" customHeight="1" x14ac:dyDescent="0.25">
      <c r="N30" s="222" t="s">
        <v>234</v>
      </c>
      <c r="O30" s="183"/>
      <c r="P30" s="183"/>
      <c r="Q30" s="183"/>
      <c r="R30" s="183"/>
      <c r="S30" s="183"/>
      <c r="T30" s="183"/>
      <c r="U30" s="184"/>
      <c r="V30" s="184"/>
      <c r="W30" s="499"/>
      <c r="X30" s="500"/>
      <c r="Y30" s="501"/>
      <c r="AA30" s="220" t="s">
        <v>240</v>
      </c>
      <c r="AB30" s="97"/>
      <c r="AC30" s="97"/>
      <c r="AD30" s="97"/>
      <c r="AE30" s="97"/>
      <c r="AF30" s="97"/>
      <c r="AG30" s="97"/>
      <c r="AH30" s="444"/>
      <c r="AI30" s="445"/>
      <c r="BW30" s="107">
        <v>36</v>
      </c>
    </row>
    <row r="31" spans="2:75" ht="3.75" customHeight="1" x14ac:dyDescent="0.25">
      <c r="N31" s="180"/>
      <c r="O31" s="180"/>
      <c r="P31" s="180"/>
      <c r="Q31" s="180"/>
      <c r="R31" s="180"/>
      <c r="S31" s="180"/>
      <c r="T31" s="180"/>
      <c r="W31" s="181"/>
      <c r="X31" s="182"/>
      <c r="Y31" s="182"/>
    </row>
    <row r="32" spans="2:75" ht="14.5" x14ac:dyDescent="0.25">
      <c r="B32" s="298" t="s">
        <v>241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7"/>
      <c r="AG32" s="456">
        <f>SUM(J25:L29)+W25+W26+W27+W28+AH25+AH26+W30+AH27+AH28+AH29+AH30</f>
        <v>0</v>
      </c>
      <c r="AH32" s="437"/>
      <c r="AI32" s="438"/>
      <c r="BW32" s="111">
        <v>37</v>
      </c>
    </row>
    <row r="33" spans="2:75" ht="2.25" customHeight="1" x14ac:dyDescent="0.25">
      <c r="AW33" s="124">
        <f>+SUM(M54:M58)</f>
        <v>0</v>
      </c>
      <c r="BW33" s="107">
        <v>38</v>
      </c>
    </row>
    <row r="34" spans="2:75" s="111" customFormat="1" ht="15.5" x14ac:dyDescent="0.25">
      <c r="B34" s="423" t="s">
        <v>242</v>
      </c>
      <c r="C34" s="492"/>
      <c r="D34" s="492"/>
      <c r="E34" s="492"/>
      <c r="F34" s="492"/>
      <c r="G34" s="492"/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/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/>
      <c r="AG34" s="492"/>
      <c r="AH34" s="492"/>
      <c r="AI34" s="492"/>
      <c r="BW34" s="111">
        <v>39</v>
      </c>
    </row>
    <row r="35" spans="2:75" ht="3.75" customHeight="1" x14ac:dyDescent="0.25">
      <c r="BW35" s="107">
        <v>40</v>
      </c>
    </row>
    <row r="36" spans="2:75" ht="14.5" x14ac:dyDescent="0.25">
      <c r="E36" s="8"/>
      <c r="F36" s="8"/>
      <c r="G36" s="8"/>
      <c r="H36" s="221" t="s">
        <v>243</v>
      </c>
      <c r="I36" s="451">
        <f>AC11*AC13</f>
        <v>0</v>
      </c>
      <c r="J36" s="452"/>
      <c r="K36" s="452"/>
      <c r="L36" s="9" t="s">
        <v>0</v>
      </c>
      <c r="P36" s="8"/>
      <c r="Q36" s="8"/>
      <c r="S36" s="221" t="s">
        <v>245</v>
      </c>
      <c r="T36" s="451">
        <f>(AC11+AC13)*AC15*2</f>
        <v>0</v>
      </c>
      <c r="U36" s="452"/>
      <c r="V36" s="452"/>
      <c r="W36" s="9" t="s">
        <v>0</v>
      </c>
      <c r="X36" s="9"/>
      <c r="AE36" s="221" t="s">
        <v>247</v>
      </c>
      <c r="AF36" s="451">
        <f>AC11*AC13</f>
        <v>0</v>
      </c>
      <c r="AG36" s="467"/>
      <c r="AH36" s="9" t="s">
        <v>0</v>
      </c>
      <c r="BW36" s="111">
        <v>41</v>
      </c>
    </row>
    <row r="37" spans="2:75" ht="3" customHeight="1" x14ac:dyDescent="0.25">
      <c r="C37" s="106"/>
      <c r="AM37" s="125"/>
      <c r="AN37" s="126"/>
      <c r="AO37" s="125"/>
      <c r="AP37" s="125"/>
      <c r="AQ37" s="125"/>
      <c r="AR37" s="125"/>
      <c r="AS37" s="124"/>
      <c r="AT37" s="124"/>
      <c r="AU37" s="124"/>
      <c r="AV37" s="124"/>
      <c r="AW37" s="124"/>
      <c r="AX37" s="125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W37" s="111">
        <v>42</v>
      </c>
    </row>
    <row r="38" spans="2:75" ht="15.5" x14ac:dyDescent="0.25">
      <c r="D38" s="8"/>
      <c r="E38" s="8"/>
      <c r="F38" s="8"/>
      <c r="G38" s="8"/>
      <c r="H38" s="10" t="s">
        <v>244</v>
      </c>
      <c r="I38" s="442">
        <f>SUM(W25:Y28)</f>
        <v>0</v>
      </c>
      <c r="J38" s="452"/>
      <c r="K38" s="452"/>
      <c r="L38" s="9" t="s">
        <v>0</v>
      </c>
      <c r="O38" s="8"/>
      <c r="P38" s="8"/>
      <c r="Q38" s="8"/>
      <c r="S38" s="10" t="s">
        <v>246</v>
      </c>
      <c r="T38" s="451">
        <f>SUM(J25:L29)+W30</f>
        <v>0</v>
      </c>
      <c r="U38" s="452"/>
      <c r="V38" s="452"/>
      <c r="W38" s="9" t="s">
        <v>0</v>
      </c>
      <c r="X38" s="9"/>
      <c r="AE38" s="10" t="s">
        <v>248</v>
      </c>
      <c r="AF38" s="442">
        <f>SUM(AH25:AI30)</f>
        <v>0</v>
      </c>
      <c r="AG38" s="443"/>
      <c r="AH38" s="9" t="s">
        <v>0</v>
      </c>
      <c r="AK38" s="127"/>
      <c r="AL38" s="128"/>
      <c r="BW38" s="111">
        <v>43</v>
      </c>
    </row>
    <row r="39" spans="2:75" ht="3" customHeight="1" x14ac:dyDescent="0.25">
      <c r="C39" s="106"/>
      <c r="AM39" s="125"/>
      <c r="AN39" s="126"/>
      <c r="AO39" s="125"/>
      <c r="AP39" s="125"/>
      <c r="AQ39" s="125"/>
      <c r="AR39" s="125"/>
      <c r="AS39" s="124"/>
      <c r="AT39" s="124"/>
      <c r="AU39" s="124"/>
      <c r="AV39" s="124"/>
      <c r="AW39" s="124"/>
      <c r="AX39" s="125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W39" s="111">
        <v>44</v>
      </c>
    </row>
    <row r="40" spans="2:75" ht="14.5" x14ac:dyDescent="0.25">
      <c r="C40" s="498" t="str">
        <f>IF(SUM(W25:Y28)&lt;ROUNDUP(AC11*AC13,1)*0.95,"NO CONFORM",IF(SUM(W25:Y28)&gt;ROUNDUP(AC11*AC13,1)*1.05,"NO CONFORM","CONFORM"))</f>
        <v>CONFORM</v>
      </c>
      <c r="D40" s="495"/>
      <c r="E40" s="495"/>
      <c r="F40" s="495"/>
      <c r="G40" s="495"/>
      <c r="H40" s="495"/>
      <c r="I40" s="495"/>
      <c r="J40" s="495"/>
      <c r="K40" s="495"/>
      <c r="L40" s="495"/>
      <c r="M40" s="494" t="str">
        <f>IF((SUM(J25:L29)+W30)&lt;ROUNDUP((AC11+AC13)*AC15*2,1)*0.95,"NO CONFORM",IF((SUM(J25:L29)+W30)&gt;ROUNDUP((AC11+AC13)*AC15*2,1)*1.05,"NO CONFORM","CONFORM"))</f>
        <v>CONFORM</v>
      </c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6"/>
      <c r="Y40" s="495" t="str">
        <f>IF(SUM(AH25:AI30)&lt;ROUNDUP(AC11*AC13,1)*0.95,"NO CONFORM",IF(SUM(AH25:AI26)&gt;ROUNDUP(AC11*AC13,1)*1.05,"NO CONFORM","CONFORM"))</f>
        <v>CONFORM</v>
      </c>
      <c r="Z40" s="495"/>
      <c r="AA40" s="495"/>
      <c r="AB40" s="495"/>
      <c r="AC40" s="495"/>
      <c r="AD40" s="495"/>
      <c r="AE40" s="495"/>
      <c r="AF40" s="495"/>
      <c r="AG40" s="495"/>
      <c r="AH40" s="497"/>
      <c r="BW40" s="111">
        <v>45</v>
      </c>
    </row>
    <row r="41" spans="2:75" ht="3.75" customHeight="1" x14ac:dyDescent="0.25">
      <c r="C41" s="106"/>
      <c r="AM41" s="125"/>
      <c r="AN41" s="126"/>
      <c r="AO41" s="125"/>
      <c r="AP41" s="125"/>
      <c r="AQ41" s="125"/>
      <c r="AR41" s="125"/>
      <c r="AS41" s="124"/>
      <c r="AT41" s="124"/>
      <c r="AU41" s="124"/>
      <c r="AV41" s="124"/>
      <c r="AW41" s="124"/>
      <c r="AX41" s="125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W41" s="111">
        <v>46</v>
      </c>
    </row>
    <row r="42" spans="2:75" s="111" customFormat="1" ht="16.5" customHeight="1" x14ac:dyDescent="0.25">
      <c r="B42" s="423" t="s">
        <v>249</v>
      </c>
      <c r="C42" s="423"/>
      <c r="D42" s="423"/>
      <c r="E42" s="423"/>
      <c r="F42" s="423"/>
      <c r="G42" s="423"/>
      <c r="H42" s="423"/>
      <c r="I42" s="423"/>
      <c r="J42" s="423"/>
      <c r="K42" s="423"/>
      <c r="L42" s="423"/>
      <c r="M42" s="423"/>
      <c r="N42" s="423"/>
      <c r="O42" s="423"/>
      <c r="P42" s="423"/>
      <c r="Q42" s="423"/>
      <c r="R42" s="423"/>
      <c r="S42" s="423"/>
      <c r="T42" s="423"/>
      <c r="U42" s="423"/>
      <c r="V42" s="423"/>
      <c r="W42" s="423"/>
      <c r="X42" s="423"/>
      <c r="Y42" s="423"/>
      <c r="Z42" s="423"/>
      <c r="AA42" s="423"/>
      <c r="AB42" s="423"/>
      <c r="AC42" s="423"/>
      <c r="AD42" s="423"/>
      <c r="AE42" s="423"/>
      <c r="AF42" s="423"/>
      <c r="AG42" s="423"/>
      <c r="AH42" s="423"/>
      <c r="AI42" s="423"/>
      <c r="AM42" s="129"/>
      <c r="AN42" s="129"/>
      <c r="AO42" s="129"/>
      <c r="AP42" s="129"/>
      <c r="AQ42" s="129"/>
      <c r="AR42" s="129"/>
      <c r="AS42" s="130"/>
      <c r="AT42" s="130"/>
      <c r="AU42" s="130"/>
      <c r="AV42" s="130"/>
      <c r="AW42" s="129"/>
      <c r="AX42" s="129"/>
      <c r="BW42" s="111">
        <v>47</v>
      </c>
    </row>
    <row r="43" spans="2:75" ht="3" customHeight="1" x14ac:dyDescent="0.25">
      <c r="C43" s="106"/>
      <c r="AM43" s="125"/>
      <c r="AN43" s="126"/>
      <c r="AO43" s="125"/>
      <c r="AP43" s="125"/>
      <c r="AQ43" s="125"/>
      <c r="AR43" s="125"/>
      <c r="AS43" s="124"/>
      <c r="AT43" s="124"/>
      <c r="AU43" s="124"/>
      <c r="AV43" s="124"/>
      <c r="AW43" s="124"/>
      <c r="AX43" s="125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W43" s="111">
        <v>48</v>
      </c>
    </row>
    <row r="44" spans="2:75" s="11" customFormat="1" ht="15.75" customHeight="1" x14ac:dyDescent="0.25">
      <c r="B44" s="306"/>
      <c r="C44" s="307" t="s">
        <v>250</v>
      </c>
      <c r="D44" s="308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9" t="s">
        <v>251</v>
      </c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  <c r="AE44" s="306"/>
      <c r="AF44" s="477" t="e">
        <f>AVERAGE(P77:V77)</f>
        <v>#DIV/0!</v>
      </c>
      <c r="AG44" s="477"/>
      <c r="AH44" s="477"/>
      <c r="AI44" s="306"/>
      <c r="AM44" s="81"/>
      <c r="AN44" s="81"/>
      <c r="AO44" s="81"/>
      <c r="AP44" s="81"/>
      <c r="AQ44" s="81"/>
      <c r="AR44" s="81"/>
      <c r="AS44" s="82"/>
      <c r="AT44" s="82"/>
      <c r="AU44" s="82"/>
      <c r="AV44" s="82"/>
      <c r="AW44" s="82"/>
      <c r="AX44" s="81"/>
      <c r="BW44" s="111">
        <v>49</v>
      </c>
    </row>
    <row r="45" spans="2:75" s="11" customFormat="1" ht="14.5" x14ac:dyDescent="0.25">
      <c r="C45" s="12" t="s">
        <v>252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45"/>
      <c r="Y45" s="145"/>
      <c r="Z45" s="14" t="s">
        <v>253</v>
      </c>
      <c r="AF45" s="493" t="str">
        <f>IF(H11="Meeting/Training Room",0.8,)&amp;IF(H11="Individual Space",0.7,)&amp;IF(H11="Several Workstation",0.6,)&amp;IF(H11="Open space",IF(Z17&lt;250,0.8,1),)&amp;IF(H11="Canteens/Catering Hall",IF(Z17&lt;250,0.6,1),)</f>
        <v/>
      </c>
      <c r="AG45" s="493"/>
      <c r="AH45" s="493"/>
      <c r="AM45" s="81"/>
      <c r="AN45" s="81"/>
      <c r="AO45" s="81"/>
      <c r="AP45" s="81"/>
      <c r="AQ45" s="81"/>
      <c r="AR45" s="81"/>
      <c r="AS45" s="82"/>
      <c r="AT45" s="82"/>
      <c r="AV45" s="82"/>
      <c r="AW45" s="82"/>
      <c r="AX45" s="81"/>
      <c r="BW45" s="107">
        <v>50</v>
      </c>
    </row>
    <row r="46" spans="2:75" s="11" customFormat="1" ht="14.5" x14ac:dyDescent="0.25">
      <c r="C46" s="12" t="s">
        <v>254</v>
      </c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45"/>
      <c r="Y46" s="145"/>
      <c r="Z46" s="15" t="s">
        <v>255</v>
      </c>
      <c r="AF46" s="478" t="str">
        <f>IF(H11="Meeting/Training Room",0.6,)&amp;IF(H11="Individual Space",0.6,)&amp;IF(H11="Several Workstation",0.5,)&amp;IF(H11="Open Space",IF(Z17&lt;250,0.6,0.8),)&amp;IF(H11="Canteens/Catering Hall",IF(Z17&lt;250,0.5,0.8),)</f>
        <v/>
      </c>
      <c r="AG46" s="478"/>
      <c r="AH46" s="478"/>
      <c r="AM46" s="81"/>
      <c r="AN46" s="81"/>
      <c r="AO46" s="81"/>
      <c r="AP46" s="81"/>
      <c r="AQ46" s="81"/>
      <c r="AR46" s="81"/>
      <c r="AS46" s="82"/>
      <c r="AT46" s="82"/>
      <c r="AU46" s="82"/>
      <c r="AV46" s="82"/>
      <c r="AW46" s="82"/>
      <c r="AX46" s="81"/>
      <c r="BW46" s="111">
        <v>51</v>
      </c>
    </row>
    <row r="47" spans="2:75" s="111" customFormat="1" ht="31.5" customHeight="1" x14ac:dyDescent="0.25">
      <c r="B47" s="479" t="s">
        <v>256</v>
      </c>
      <c r="C47" s="423"/>
      <c r="D47" s="423"/>
      <c r="E47" s="423"/>
      <c r="F47" s="423"/>
      <c r="G47" s="423"/>
      <c r="H47" s="423"/>
      <c r="I47" s="423"/>
      <c r="J47" s="423"/>
      <c r="K47" s="423"/>
      <c r="L47" s="423"/>
      <c r="M47" s="423"/>
      <c r="N47" s="423"/>
      <c r="O47" s="423"/>
      <c r="P47" s="423"/>
      <c r="Q47" s="423"/>
      <c r="R47" s="423"/>
      <c r="S47" s="423"/>
      <c r="T47" s="423"/>
      <c r="U47" s="423"/>
      <c r="V47" s="423"/>
      <c r="W47" s="423"/>
      <c r="X47" s="423"/>
      <c r="Y47" s="423"/>
      <c r="Z47" s="423"/>
      <c r="AA47" s="423"/>
      <c r="AB47" s="423"/>
      <c r="AC47" s="423"/>
      <c r="AD47" s="423"/>
      <c r="AE47" s="423"/>
      <c r="AF47" s="423"/>
      <c r="AG47" s="423"/>
      <c r="AH47" s="423"/>
      <c r="AI47" s="423"/>
      <c r="AM47" s="129"/>
      <c r="AN47" s="129"/>
      <c r="AO47" s="129"/>
      <c r="AP47" s="129"/>
      <c r="AQ47" s="129"/>
      <c r="AR47" s="129"/>
      <c r="AS47" s="130"/>
      <c r="AT47" s="124" t="s">
        <v>82</v>
      </c>
      <c r="AU47" s="130"/>
      <c r="AV47" s="130"/>
      <c r="AW47" s="130"/>
      <c r="AX47" s="129"/>
      <c r="BW47" s="111">
        <v>53</v>
      </c>
    </row>
    <row r="48" spans="2:75" ht="6" customHeight="1" x14ac:dyDescent="0.25">
      <c r="C48" s="106"/>
      <c r="AM48" s="125"/>
      <c r="AN48" s="129"/>
      <c r="AO48" s="129"/>
      <c r="AP48" s="125"/>
      <c r="AQ48" s="125"/>
      <c r="AR48" s="125"/>
      <c r="AS48" s="124"/>
      <c r="AT48" s="124"/>
      <c r="AU48" s="124"/>
      <c r="AV48" s="124"/>
      <c r="AW48" s="124"/>
      <c r="AX48" s="125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W48" s="111"/>
    </row>
    <row r="49" spans="2:75" ht="16.5" customHeight="1" x14ac:dyDescent="0.25">
      <c r="B49" s="315" t="s">
        <v>350</v>
      </c>
      <c r="C49" s="316"/>
      <c r="D49" s="316"/>
      <c r="E49" s="316"/>
      <c r="F49" s="316"/>
      <c r="G49" s="317"/>
      <c r="I49" s="315" t="s">
        <v>270</v>
      </c>
      <c r="J49" s="316"/>
      <c r="K49" s="316"/>
      <c r="L49" s="316"/>
      <c r="M49" s="321"/>
      <c r="N49" s="327" t="s">
        <v>272</v>
      </c>
      <c r="O49" s="316"/>
      <c r="P49" s="317" t="s">
        <v>193</v>
      </c>
      <c r="Q49" s="315" t="s">
        <v>273</v>
      </c>
      <c r="R49" s="316"/>
      <c r="S49" s="321"/>
      <c r="T49" s="316"/>
      <c r="U49" s="316"/>
      <c r="V49" s="321"/>
      <c r="W49" s="316"/>
      <c r="X49" s="321"/>
      <c r="Y49" s="321"/>
      <c r="Z49" s="321"/>
      <c r="AA49" s="328"/>
      <c r="AC49" s="315" t="s">
        <v>274</v>
      </c>
      <c r="AD49" s="316"/>
      <c r="AE49" s="316"/>
      <c r="AF49" s="316"/>
      <c r="AG49" s="321"/>
      <c r="AH49" s="321"/>
      <c r="AI49" s="328"/>
      <c r="AJ49" s="131"/>
      <c r="AK49" s="131"/>
      <c r="AL49" s="131"/>
      <c r="AM49" s="131"/>
      <c r="AN49" s="483"/>
      <c r="AO49" s="485"/>
      <c r="AP49" s="485"/>
      <c r="AQ49" s="485"/>
      <c r="AR49" s="125"/>
      <c r="AS49" s="124"/>
      <c r="AT49" s="124"/>
      <c r="AU49" s="124"/>
      <c r="AV49" s="124"/>
      <c r="AW49" s="124"/>
      <c r="AX49" s="125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W49" s="111">
        <v>54</v>
      </c>
    </row>
    <row r="50" spans="2:75" ht="17.75" customHeight="1" x14ac:dyDescent="0.25">
      <c r="B50" s="318" t="s">
        <v>302</v>
      </c>
      <c r="C50" s="294"/>
      <c r="D50" s="294"/>
      <c r="E50" s="319" t="s">
        <v>267</v>
      </c>
      <c r="F50" s="294"/>
      <c r="G50" s="320" t="s">
        <v>268</v>
      </c>
      <c r="I50" s="322" t="s">
        <v>271</v>
      </c>
      <c r="J50" s="293"/>
      <c r="K50" s="293"/>
      <c r="L50" s="323">
        <v>1</v>
      </c>
      <c r="M50" s="351">
        <v>2</v>
      </c>
      <c r="N50" s="108" t="s">
        <v>122</v>
      </c>
      <c r="O50" s="108"/>
      <c r="P50" s="335"/>
      <c r="Q50" s="322" t="s">
        <v>271</v>
      </c>
      <c r="R50" s="293"/>
      <c r="S50" s="294"/>
      <c r="T50" s="293"/>
      <c r="U50" s="323">
        <v>1</v>
      </c>
      <c r="V50" s="293">
        <v>2</v>
      </c>
      <c r="W50" s="294"/>
      <c r="X50" s="294"/>
      <c r="Y50" s="294"/>
      <c r="Z50" s="323">
        <v>1</v>
      </c>
      <c r="AA50" s="323">
        <v>2</v>
      </c>
      <c r="AC50" s="192" t="s">
        <v>174</v>
      </c>
      <c r="AD50" s="108"/>
      <c r="AE50" s="108"/>
      <c r="AF50" s="334"/>
      <c r="AG50" s="108" t="s">
        <v>177</v>
      </c>
      <c r="AH50" s="108"/>
      <c r="AI50" s="335"/>
      <c r="AK50" s="131"/>
      <c r="AL50" s="131"/>
      <c r="AM50" s="131"/>
      <c r="AN50" s="484"/>
      <c r="AO50" s="486"/>
      <c r="AP50" s="486"/>
      <c r="AQ50" s="486"/>
      <c r="AR50" s="125"/>
      <c r="AS50" s="124"/>
      <c r="AT50" s="124"/>
      <c r="AU50" s="124"/>
      <c r="AV50" s="124"/>
      <c r="AW50" s="124"/>
      <c r="AX50" s="125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W50" s="111"/>
    </row>
    <row r="51" spans="2:75" ht="16.5" customHeight="1" x14ac:dyDescent="0.25">
      <c r="B51" s="192" t="s">
        <v>107</v>
      </c>
      <c r="C51" s="108"/>
      <c r="D51" s="108"/>
      <c r="E51" s="332"/>
      <c r="F51" s="108"/>
      <c r="G51" s="333"/>
      <c r="I51" s="192" t="s">
        <v>103</v>
      </c>
      <c r="J51" s="108"/>
      <c r="K51" s="108"/>
      <c r="L51" s="335"/>
      <c r="M51" s="333"/>
      <c r="N51" s="108" t="s">
        <v>123</v>
      </c>
      <c r="O51" s="108"/>
      <c r="P51" s="335"/>
      <c r="Q51" s="192" t="s">
        <v>126</v>
      </c>
      <c r="R51" s="108"/>
      <c r="T51" s="108"/>
      <c r="U51" s="335"/>
      <c r="V51" s="333"/>
      <c r="W51" s="192" t="s">
        <v>130</v>
      </c>
      <c r="X51" s="108"/>
      <c r="Y51" s="108"/>
      <c r="Z51" s="335"/>
      <c r="AA51" s="333"/>
      <c r="AC51" s="192" t="s">
        <v>180</v>
      </c>
      <c r="AD51" s="108"/>
      <c r="AE51" s="108"/>
      <c r="AF51" s="334"/>
      <c r="AG51" s="108" t="s">
        <v>183</v>
      </c>
      <c r="AH51" s="108"/>
      <c r="AI51" s="335"/>
      <c r="AK51" s="131"/>
      <c r="AL51" s="131"/>
      <c r="AM51" s="131"/>
      <c r="AN51" s="187"/>
      <c r="AO51" s="187"/>
      <c r="AP51" s="188"/>
      <c r="AQ51" s="188"/>
      <c r="AR51" s="125"/>
      <c r="AS51" s="124"/>
      <c r="AT51" s="124"/>
      <c r="AU51" s="133" t="s">
        <v>80</v>
      </c>
      <c r="AV51" s="134" t="s">
        <v>81</v>
      </c>
      <c r="AW51" s="124"/>
      <c r="AX51" s="125"/>
      <c r="BW51" s="111">
        <v>55</v>
      </c>
    </row>
    <row r="52" spans="2:75" ht="16.5" customHeight="1" x14ac:dyDescent="0.25">
      <c r="B52" s="192" t="s">
        <v>108</v>
      </c>
      <c r="C52" s="108"/>
      <c r="D52" s="108"/>
      <c r="E52" s="332"/>
      <c r="F52" s="108"/>
      <c r="G52" s="333"/>
      <c r="I52" s="192" t="s">
        <v>104</v>
      </c>
      <c r="J52" s="108"/>
      <c r="K52" s="108"/>
      <c r="L52" s="335"/>
      <c r="M52" s="333"/>
      <c r="N52" s="108" t="s">
        <v>124</v>
      </c>
      <c r="O52" s="108"/>
      <c r="P52" s="335"/>
      <c r="Q52" s="192" t="s">
        <v>128</v>
      </c>
      <c r="R52" s="108"/>
      <c r="T52" s="108"/>
      <c r="U52" s="335"/>
      <c r="V52" s="333"/>
      <c r="W52" s="192" t="s">
        <v>131</v>
      </c>
      <c r="X52" s="108"/>
      <c r="Y52" s="108"/>
      <c r="Z52" s="335"/>
      <c r="AA52" s="333"/>
      <c r="AC52" s="192" t="s">
        <v>175</v>
      </c>
      <c r="AD52" s="108"/>
      <c r="AE52" s="108"/>
      <c r="AF52" s="334"/>
      <c r="AG52" s="108" t="s">
        <v>178</v>
      </c>
      <c r="AH52" s="108"/>
      <c r="AI52" s="335"/>
      <c r="AK52" s="131"/>
      <c r="AL52" s="131"/>
      <c r="AM52" s="131"/>
      <c r="AN52" s="131"/>
      <c r="AO52" s="189"/>
      <c r="AP52" s="185"/>
      <c r="AQ52" s="190"/>
      <c r="AR52" s="125"/>
      <c r="AS52" s="124"/>
      <c r="AT52" s="124"/>
      <c r="AU52" s="133"/>
      <c r="AV52" s="134"/>
      <c r="AW52" s="124"/>
      <c r="AX52" s="125"/>
      <c r="BW52" s="111"/>
    </row>
    <row r="53" spans="2:75" ht="16.5" customHeight="1" x14ac:dyDescent="0.25">
      <c r="B53" s="192" t="s">
        <v>109</v>
      </c>
      <c r="C53" s="108"/>
      <c r="D53" s="108"/>
      <c r="E53" s="332"/>
      <c r="F53" s="108"/>
      <c r="G53" s="333"/>
      <c r="I53" s="192" t="s">
        <v>105</v>
      </c>
      <c r="J53" s="108"/>
      <c r="K53" s="108"/>
      <c r="L53" s="335"/>
      <c r="M53" s="333"/>
      <c r="N53" s="324" t="s">
        <v>186</v>
      </c>
      <c r="O53" s="325"/>
      <c r="P53" s="326"/>
      <c r="Q53" s="192" t="s">
        <v>129</v>
      </c>
      <c r="R53" s="108"/>
      <c r="T53" s="108"/>
      <c r="U53" s="335"/>
      <c r="V53" s="333"/>
      <c r="W53" s="192" t="s">
        <v>127</v>
      </c>
      <c r="X53" s="108"/>
      <c r="Y53" s="108"/>
      <c r="Z53" s="335"/>
      <c r="AA53" s="333"/>
      <c r="AC53" s="192" t="s">
        <v>181</v>
      </c>
      <c r="AD53" s="108"/>
      <c r="AE53" s="108"/>
      <c r="AF53" s="334"/>
      <c r="AG53" s="108" t="s">
        <v>184</v>
      </c>
      <c r="AH53" s="108"/>
      <c r="AI53" s="335"/>
      <c r="AK53" s="131"/>
      <c r="AL53" s="131"/>
      <c r="AM53" s="131"/>
      <c r="AN53" s="131"/>
      <c r="AO53" s="189"/>
      <c r="AP53" s="185"/>
      <c r="AQ53" s="190"/>
      <c r="AR53" s="125"/>
      <c r="AS53" s="124"/>
      <c r="AT53" s="124"/>
      <c r="AU53" s="133"/>
      <c r="AV53" s="134"/>
      <c r="AW53" s="124"/>
      <c r="AX53" s="125"/>
      <c r="BW53" s="111"/>
    </row>
    <row r="54" spans="2:75" ht="16.5" customHeight="1" x14ac:dyDescent="0.25">
      <c r="B54" s="192" t="s">
        <v>106</v>
      </c>
      <c r="C54" s="108"/>
      <c r="D54" s="108"/>
      <c r="E54" s="332"/>
      <c r="F54" s="108"/>
      <c r="G54" s="333"/>
      <c r="I54" s="192" t="s">
        <v>20</v>
      </c>
      <c r="J54" s="108"/>
      <c r="K54" s="108"/>
      <c r="L54" s="335"/>
      <c r="M54" s="333"/>
      <c r="N54" s="108" t="s">
        <v>154</v>
      </c>
      <c r="O54" s="108"/>
      <c r="P54" s="335"/>
      <c r="Q54" s="318" t="s">
        <v>351</v>
      </c>
      <c r="R54" s="293"/>
      <c r="S54" s="294"/>
      <c r="T54" s="293"/>
      <c r="U54" s="293"/>
      <c r="V54" s="294"/>
      <c r="W54" s="293"/>
      <c r="X54" s="294"/>
      <c r="Y54" s="294"/>
      <c r="Z54" s="294"/>
      <c r="AA54" s="329"/>
      <c r="AC54" s="192" t="s">
        <v>176</v>
      </c>
      <c r="AD54" s="108"/>
      <c r="AE54" s="108"/>
      <c r="AF54" s="334"/>
      <c r="AG54" s="131" t="s">
        <v>179</v>
      </c>
      <c r="AH54" s="131"/>
      <c r="AI54" s="335"/>
      <c r="AK54" s="131"/>
      <c r="AL54" s="131"/>
      <c r="AM54" s="131"/>
      <c r="AN54" s="131"/>
      <c r="AO54" s="189"/>
      <c r="AP54" s="185"/>
      <c r="AQ54" s="190"/>
      <c r="AR54" s="125"/>
      <c r="AS54" s="124"/>
      <c r="AT54" s="124"/>
      <c r="AU54" s="133"/>
      <c r="AV54" s="134"/>
      <c r="AW54" s="124"/>
      <c r="AX54" s="125"/>
      <c r="BW54" s="111"/>
    </row>
    <row r="55" spans="2:75" ht="16.5" customHeight="1" x14ac:dyDescent="0.25">
      <c r="B55" s="192" t="s">
        <v>110</v>
      </c>
      <c r="C55" s="108"/>
      <c r="D55" s="108"/>
      <c r="E55" s="332"/>
      <c r="F55" s="108"/>
      <c r="G55" s="333"/>
      <c r="I55" s="192" t="s">
        <v>21</v>
      </c>
      <c r="J55" s="108"/>
      <c r="K55" s="108"/>
      <c r="L55" s="335"/>
      <c r="M55" s="333"/>
      <c r="N55" s="108" t="s">
        <v>155</v>
      </c>
      <c r="O55" s="108"/>
      <c r="P55" s="335"/>
      <c r="Q55" s="192" t="s">
        <v>157</v>
      </c>
      <c r="U55" s="334"/>
      <c r="V55" s="333"/>
      <c r="W55" s="108" t="s">
        <v>395</v>
      </c>
      <c r="Z55" s="335"/>
      <c r="AA55" s="335"/>
      <c r="AC55" s="192" t="s">
        <v>182</v>
      </c>
      <c r="AD55" s="108"/>
      <c r="AE55" s="108"/>
      <c r="AF55" s="334"/>
      <c r="AG55" s="108" t="s">
        <v>185</v>
      </c>
      <c r="AH55" s="108"/>
      <c r="AI55" s="335"/>
      <c r="AK55" s="131"/>
      <c r="AL55" s="131"/>
      <c r="AM55" s="131"/>
      <c r="AN55" s="131"/>
      <c r="AO55" s="189"/>
      <c r="AP55" s="185"/>
      <c r="AQ55" s="190"/>
      <c r="AT55" s="124"/>
      <c r="AU55" s="124">
        <f>ROUNDUP(M54/2,0)</f>
        <v>0</v>
      </c>
      <c r="AV55" s="135">
        <f>M54-AU55</f>
        <v>0</v>
      </c>
      <c r="AW55" s="124"/>
      <c r="AX55" s="125"/>
      <c r="BW55" s="107">
        <v>56</v>
      </c>
    </row>
    <row r="56" spans="2:75" ht="16.5" customHeight="1" x14ac:dyDescent="0.25">
      <c r="B56" s="192" t="s">
        <v>111</v>
      </c>
      <c r="C56" s="108"/>
      <c r="D56" s="108"/>
      <c r="E56" s="332"/>
      <c r="F56" s="108"/>
      <c r="G56" s="333"/>
      <c r="I56" s="192" t="s">
        <v>22</v>
      </c>
      <c r="J56" s="108"/>
      <c r="K56" s="108"/>
      <c r="L56" s="335"/>
      <c r="M56" s="333"/>
      <c r="N56" s="324" t="s">
        <v>187</v>
      </c>
      <c r="O56" s="325"/>
      <c r="P56" s="326"/>
      <c r="Q56" s="192" t="s">
        <v>368</v>
      </c>
      <c r="U56" s="334"/>
      <c r="V56" s="333"/>
      <c r="W56" s="108" t="s">
        <v>347</v>
      </c>
      <c r="Z56" s="335"/>
      <c r="AA56" s="335"/>
      <c r="AC56" s="318" t="s">
        <v>276</v>
      </c>
      <c r="AD56" s="293"/>
      <c r="AE56" s="293"/>
      <c r="AF56" s="293"/>
      <c r="AG56" s="294"/>
      <c r="AH56" s="294"/>
      <c r="AI56" s="329"/>
      <c r="AJ56" s="131"/>
      <c r="AT56" s="124"/>
      <c r="AU56" s="124">
        <f>ROUNDUP(M55/2,0)</f>
        <v>0</v>
      </c>
      <c r="AV56" s="135">
        <f>M55-AU56</f>
        <v>0</v>
      </c>
      <c r="AW56" s="124"/>
      <c r="AX56" s="125"/>
      <c r="BW56" s="111">
        <v>57</v>
      </c>
    </row>
    <row r="57" spans="2:75" ht="18" customHeight="1" x14ac:dyDescent="0.25">
      <c r="B57" s="192" t="s">
        <v>112</v>
      </c>
      <c r="C57" s="108"/>
      <c r="D57" s="108"/>
      <c r="E57" s="332"/>
      <c r="F57" s="108"/>
      <c r="G57" s="333"/>
      <c r="I57" s="192" t="s">
        <v>23</v>
      </c>
      <c r="J57" s="108"/>
      <c r="K57" s="108"/>
      <c r="L57" s="335"/>
      <c r="M57" s="333"/>
      <c r="N57" s="108" t="s">
        <v>90</v>
      </c>
      <c r="O57" s="131"/>
      <c r="P57" s="335"/>
      <c r="Q57" s="192" t="s">
        <v>160</v>
      </c>
      <c r="U57" s="334"/>
      <c r="V57" s="333"/>
      <c r="W57" s="108" t="s">
        <v>348</v>
      </c>
      <c r="Z57" s="335"/>
      <c r="AA57" s="335"/>
      <c r="AC57" s="192" t="s">
        <v>202</v>
      </c>
      <c r="AD57" s="108"/>
      <c r="AE57" s="108"/>
      <c r="AF57" s="334"/>
      <c r="AG57" s="108" t="s">
        <v>203</v>
      </c>
      <c r="AH57" s="108"/>
      <c r="AI57" s="335"/>
      <c r="AT57" s="124"/>
      <c r="AU57" s="124">
        <f>ROUNDUP(M56/2,0)</f>
        <v>0</v>
      </c>
      <c r="AV57" s="135">
        <f>M56-AU57</f>
        <v>0</v>
      </c>
      <c r="AW57" s="124"/>
      <c r="AX57" s="125"/>
      <c r="BW57" s="107">
        <v>58</v>
      </c>
    </row>
    <row r="58" spans="2:75" ht="16.5" customHeight="1" x14ac:dyDescent="0.25">
      <c r="B58" s="192" t="s">
        <v>113</v>
      </c>
      <c r="C58" s="108"/>
      <c r="D58" s="108"/>
      <c r="E58" s="332"/>
      <c r="F58" s="108"/>
      <c r="G58" s="333"/>
      <c r="I58" s="192" t="s">
        <v>24</v>
      </c>
      <c r="J58" s="108"/>
      <c r="K58" s="108"/>
      <c r="L58" s="335"/>
      <c r="M58" s="333"/>
      <c r="N58" s="108" t="s">
        <v>91</v>
      </c>
      <c r="O58" s="131"/>
      <c r="P58" s="335"/>
      <c r="Q58" s="192" t="s">
        <v>394</v>
      </c>
      <c r="U58" s="334"/>
      <c r="V58" s="333"/>
      <c r="W58" s="108" t="s">
        <v>349</v>
      </c>
      <c r="Z58" s="335"/>
      <c r="AA58" s="335"/>
      <c r="AC58" s="318" t="s">
        <v>352</v>
      </c>
      <c r="AD58" s="293"/>
      <c r="AE58" s="293"/>
      <c r="AF58" s="293"/>
      <c r="AG58" s="294"/>
      <c r="AH58" s="294"/>
      <c r="AI58" s="329"/>
      <c r="AJ58" s="131"/>
      <c r="AT58" s="124"/>
      <c r="AU58" s="124">
        <f>ROUNDUP(M57/2,0)</f>
        <v>0</v>
      </c>
      <c r="AV58" s="135">
        <f>M57-AU58</f>
        <v>0</v>
      </c>
      <c r="AW58" s="124"/>
      <c r="AX58" s="125"/>
      <c r="BW58" s="111">
        <v>59</v>
      </c>
    </row>
    <row r="59" spans="2:75" ht="16.5" customHeight="1" x14ac:dyDescent="0.25">
      <c r="B59" s="318" t="s">
        <v>269</v>
      </c>
      <c r="C59" s="293"/>
      <c r="D59" s="293"/>
      <c r="E59" s="293"/>
      <c r="F59" s="293"/>
      <c r="G59" s="323"/>
      <c r="I59" s="192" t="s">
        <v>85</v>
      </c>
      <c r="J59" s="108"/>
      <c r="K59" s="108"/>
      <c r="L59" s="335"/>
      <c r="M59" s="333"/>
      <c r="N59" s="330" t="s">
        <v>188</v>
      </c>
      <c r="O59" s="294"/>
      <c r="P59" s="331"/>
      <c r="Q59" s="318" t="s">
        <v>397</v>
      </c>
      <c r="R59" s="293"/>
      <c r="S59" s="294"/>
      <c r="T59" s="293"/>
      <c r="U59" s="293"/>
      <c r="V59" s="294"/>
      <c r="W59" s="293"/>
      <c r="X59" s="294"/>
      <c r="Y59" s="294"/>
      <c r="Z59" s="294"/>
      <c r="AA59" s="329"/>
      <c r="AC59" s="192" t="s">
        <v>361</v>
      </c>
      <c r="AD59" s="108"/>
      <c r="AE59" s="108"/>
      <c r="AF59" s="334"/>
      <c r="AG59" s="108" t="s">
        <v>377</v>
      </c>
      <c r="AH59" s="108"/>
      <c r="AI59" s="335"/>
      <c r="AJ59" s="131"/>
      <c r="AK59" s="131"/>
      <c r="AL59" s="131"/>
      <c r="AM59" s="131"/>
      <c r="AN59" s="131"/>
      <c r="AO59" s="189"/>
      <c r="AP59" s="185"/>
      <c r="AQ59" s="190"/>
      <c r="AT59" s="124"/>
      <c r="AU59" s="124">
        <f>ROUNDUP(M58/2,0)</f>
        <v>0</v>
      </c>
      <c r="AV59" s="135">
        <f>M58-AU59</f>
        <v>0</v>
      </c>
      <c r="AW59" s="124"/>
      <c r="AX59" s="125"/>
      <c r="BW59" s="107">
        <v>60</v>
      </c>
    </row>
    <row r="60" spans="2:75" ht="16.5" customHeight="1" x14ac:dyDescent="0.25">
      <c r="B60" s="192" t="s">
        <v>194</v>
      </c>
      <c r="C60" s="108"/>
      <c r="D60" s="108"/>
      <c r="E60" s="332"/>
      <c r="F60" s="186"/>
      <c r="G60" s="193"/>
      <c r="I60" s="192" t="s">
        <v>153</v>
      </c>
      <c r="J60" s="108"/>
      <c r="K60" s="108"/>
      <c r="L60" s="335"/>
      <c r="M60" s="333"/>
      <c r="N60" s="108" t="s">
        <v>162</v>
      </c>
      <c r="O60" s="108"/>
      <c r="P60" s="335"/>
      <c r="Q60" s="322" t="s">
        <v>401</v>
      </c>
      <c r="R60" s="293"/>
      <c r="S60" s="294"/>
      <c r="T60" s="293"/>
      <c r="U60" s="323"/>
      <c r="V60" s="293"/>
      <c r="W60" s="294"/>
      <c r="X60" s="294"/>
      <c r="Y60" s="294"/>
      <c r="Z60" s="294"/>
      <c r="AA60" s="323"/>
      <c r="AC60" s="318" t="s">
        <v>275</v>
      </c>
      <c r="AD60" s="293"/>
      <c r="AE60" s="293"/>
      <c r="AF60" s="293"/>
      <c r="AG60" s="294"/>
      <c r="AH60" s="294"/>
      <c r="AI60" s="329"/>
      <c r="AJ60" s="131"/>
      <c r="AK60" s="131"/>
      <c r="AL60" s="131"/>
      <c r="AM60" s="131"/>
      <c r="AN60" s="131"/>
      <c r="AO60" s="189"/>
      <c r="AP60" s="185"/>
      <c r="AQ60" s="190"/>
      <c r="AT60" s="124"/>
      <c r="AU60" s="124"/>
      <c r="AV60" s="135"/>
      <c r="AW60" s="124"/>
      <c r="AX60" s="125"/>
    </row>
    <row r="61" spans="2:75" ht="15.5" customHeight="1" x14ac:dyDescent="0.25">
      <c r="B61" s="192" t="s">
        <v>195</v>
      </c>
      <c r="C61" s="108"/>
      <c r="D61" s="108"/>
      <c r="E61" s="332"/>
      <c r="F61" s="186"/>
      <c r="G61" s="193"/>
      <c r="I61" s="142" t="s">
        <v>101</v>
      </c>
      <c r="J61" s="131"/>
      <c r="K61" s="108"/>
      <c r="L61" s="335"/>
      <c r="M61" s="333"/>
      <c r="N61" s="108" t="s">
        <v>161</v>
      </c>
      <c r="O61" s="108"/>
      <c r="P61" s="335"/>
      <c r="Q61" s="192"/>
      <c r="R61" s="108"/>
      <c r="S61" s="108"/>
      <c r="T61" s="108"/>
      <c r="U61" s="335"/>
      <c r="V61" s="335"/>
      <c r="W61" s="108"/>
      <c r="X61" s="108"/>
      <c r="Y61" s="108"/>
      <c r="Z61" s="108"/>
      <c r="AA61" s="197"/>
      <c r="AC61" s="192" t="s">
        <v>375</v>
      </c>
      <c r="AD61" s="108"/>
      <c r="AE61" s="108"/>
      <c r="AF61" s="334"/>
      <c r="AG61" s="108"/>
      <c r="AH61" s="108"/>
      <c r="AI61" s="197"/>
      <c r="AK61" s="131"/>
      <c r="AL61" s="131"/>
      <c r="AM61" s="131"/>
      <c r="AN61" s="131"/>
      <c r="AO61" s="189"/>
      <c r="AP61" s="185"/>
      <c r="AQ61" s="190"/>
      <c r="AT61" s="124"/>
      <c r="AU61" s="124"/>
      <c r="AV61" s="135"/>
      <c r="AW61" s="124"/>
      <c r="AX61" s="125"/>
    </row>
    <row r="62" spans="2:75" ht="16.5" customHeight="1" x14ac:dyDescent="0.25">
      <c r="B62" s="192" t="s">
        <v>196</v>
      </c>
      <c r="C62" s="108"/>
      <c r="D62" s="108"/>
      <c r="E62" s="332"/>
      <c r="F62" s="186"/>
      <c r="G62" s="193"/>
      <c r="I62" s="192" t="s">
        <v>102</v>
      </c>
      <c r="J62" s="108"/>
      <c r="K62" s="108"/>
      <c r="L62" s="335"/>
      <c r="M62" s="333"/>
      <c r="N62" s="330" t="s">
        <v>310</v>
      </c>
      <c r="O62" s="294"/>
      <c r="P62" s="331"/>
      <c r="Q62" s="318" t="s">
        <v>399</v>
      </c>
      <c r="R62" s="293"/>
      <c r="S62" s="293"/>
      <c r="T62" s="293"/>
      <c r="U62" s="294"/>
      <c r="V62" s="294"/>
      <c r="W62" s="294"/>
      <c r="X62" s="294"/>
      <c r="Y62" s="294"/>
      <c r="Z62" s="294"/>
      <c r="AA62" s="329"/>
      <c r="AC62" s="192" t="s">
        <v>372</v>
      </c>
      <c r="AD62" s="108"/>
      <c r="AE62" s="108"/>
      <c r="AF62" s="334"/>
      <c r="AG62" s="108" t="s">
        <v>373</v>
      </c>
      <c r="AH62" s="108"/>
      <c r="AI62" s="335"/>
      <c r="AJ62" s="131"/>
      <c r="AK62" s="131"/>
      <c r="AL62" s="131"/>
      <c r="AM62" s="131"/>
      <c r="AN62" s="131"/>
      <c r="AO62" s="189"/>
      <c r="AP62" s="185"/>
      <c r="AQ62" s="190"/>
      <c r="AT62" s="124"/>
      <c r="AU62" s="124"/>
      <c r="AV62" s="135"/>
      <c r="AW62" s="124"/>
      <c r="AX62" s="125"/>
    </row>
    <row r="63" spans="2:75" ht="16.5" customHeight="1" x14ac:dyDescent="0.25">
      <c r="B63" s="192" t="s">
        <v>197</v>
      </c>
      <c r="C63" s="108"/>
      <c r="D63" s="108"/>
      <c r="E63" s="332"/>
      <c r="F63" s="186"/>
      <c r="G63" s="193"/>
      <c r="I63" s="192" t="s">
        <v>86</v>
      </c>
      <c r="J63" s="108"/>
      <c r="K63" s="108"/>
      <c r="L63" s="335"/>
      <c r="M63" s="333"/>
      <c r="N63" s="108" t="s">
        <v>309</v>
      </c>
      <c r="O63" s="108"/>
      <c r="P63" s="335"/>
      <c r="Q63" s="192" t="s">
        <v>157</v>
      </c>
      <c r="R63" s="108"/>
      <c r="S63" s="108"/>
      <c r="T63" s="108"/>
      <c r="U63" s="332"/>
      <c r="W63" s="108" t="s">
        <v>159</v>
      </c>
      <c r="X63" s="108"/>
      <c r="Y63" s="108"/>
      <c r="Z63" s="333"/>
      <c r="AA63" s="197"/>
      <c r="AC63" s="192" t="s">
        <v>309</v>
      </c>
      <c r="AD63" s="108"/>
      <c r="AE63" s="108"/>
      <c r="AF63" s="334"/>
      <c r="AG63" s="108" t="s">
        <v>374</v>
      </c>
      <c r="AH63" s="108"/>
      <c r="AI63" s="335"/>
      <c r="AJ63" s="131"/>
      <c r="AK63" s="131"/>
      <c r="AL63" s="131"/>
      <c r="AM63" s="131"/>
      <c r="AN63" s="131"/>
      <c r="AO63" s="189"/>
      <c r="AP63" s="185"/>
      <c r="AQ63" s="190"/>
      <c r="AT63" s="124"/>
      <c r="AU63" s="124"/>
      <c r="AV63" s="135"/>
      <c r="AW63" s="124"/>
      <c r="AX63" s="125"/>
    </row>
    <row r="64" spans="2:75" ht="16.5" customHeight="1" x14ac:dyDescent="0.25">
      <c r="B64" s="192" t="s">
        <v>198</v>
      </c>
      <c r="C64" s="108"/>
      <c r="D64" s="108"/>
      <c r="E64" s="332"/>
      <c r="F64" s="186"/>
      <c r="G64" s="193"/>
      <c r="I64" s="192" t="s">
        <v>87</v>
      </c>
      <c r="J64" s="108"/>
      <c r="K64" s="108"/>
      <c r="L64" s="335"/>
      <c r="M64" s="333"/>
      <c r="Q64" s="192" t="s">
        <v>158</v>
      </c>
      <c r="R64" s="108"/>
      <c r="S64" s="108"/>
      <c r="T64" s="108"/>
      <c r="U64" s="332"/>
      <c r="W64" s="108" t="s">
        <v>160</v>
      </c>
      <c r="X64" s="108"/>
      <c r="Y64" s="108"/>
      <c r="Z64" s="333"/>
      <c r="AA64" s="197"/>
      <c r="AC64" s="318" t="s">
        <v>369</v>
      </c>
      <c r="AD64" s="293"/>
      <c r="AE64" s="293"/>
      <c r="AF64" s="293"/>
      <c r="AG64" s="294"/>
      <c r="AH64" s="294"/>
      <c r="AI64" s="329"/>
      <c r="AJ64" s="131"/>
      <c r="AK64" s="131"/>
      <c r="AL64" s="131"/>
      <c r="AM64" s="131"/>
      <c r="AN64" s="131"/>
      <c r="AO64" s="189"/>
      <c r="AP64" s="185"/>
      <c r="AQ64" s="190"/>
      <c r="AT64" s="124"/>
      <c r="AU64" s="124"/>
      <c r="AV64" s="135"/>
      <c r="AW64" s="124"/>
      <c r="AX64" s="125"/>
    </row>
    <row r="65" spans="1:75" ht="16.5" customHeight="1" x14ac:dyDescent="0.25">
      <c r="B65" s="192" t="s">
        <v>199</v>
      </c>
      <c r="C65" s="108"/>
      <c r="D65" s="108"/>
      <c r="E65" s="332"/>
      <c r="F65" s="186"/>
      <c r="G65" s="193"/>
      <c r="I65" s="318" t="s">
        <v>189</v>
      </c>
      <c r="J65" s="293"/>
      <c r="K65" s="293"/>
      <c r="L65" s="293"/>
      <c r="M65" s="323"/>
      <c r="Q65" s="192" t="s">
        <v>394</v>
      </c>
      <c r="R65" s="108"/>
      <c r="S65" s="108"/>
      <c r="T65" s="108"/>
      <c r="U65" s="332"/>
      <c r="W65" s="108" t="s">
        <v>395</v>
      </c>
      <c r="X65" s="108"/>
      <c r="Y65" s="108"/>
      <c r="Z65" s="333"/>
      <c r="AA65" s="197"/>
      <c r="AC65" s="142" t="s">
        <v>378</v>
      </c>
      <c r="AD65" s="287"/>
      <c r="AE65" s="287"/>
      <c r="AF65" s="287"/>
      <c r="AG65" s="287"/>
      <c r="AH65" s="287"/>
      <c r="AI65" s="335"/>
      <c r="AJ65" s="131"/>
      <c r="AK65" s="131"/>
      <c r="AL65" s="131"/>
      <c r="AM65" s="131"/>
      <c r="AN65" s="131"/>
      <c r="AO65" s="189"/>
      <c r="AP65" s="185"/>
      <c r="AQ65" s="190"/>
      <c r="AT65" s="124"/>
      <c r="AU65" s="124"/>
      <c r="AV65" s="135"/>
      <c r="AW65" s="124"/>
      <c r="AX65" s="125"/>
    </row>
    <row r="66" spans="1:75" ht="15" customHeight="1" x14ac:dyDescent="0.25">
      <c r="B66" s="192" t="s">
        <v>200</v>
      </c>
      <c r="C66" s="108"/>
      <c r="D66" s="108"/>
      <c r="E66" s="332"/>
      <c r="F66" s="186"/>
      <c r="G66" s="193"/>
      <c r="I66" s="322" t="s">
        <v>271</v>
      </c>
      <c r="J66" s="293"/>
      <c r="K66" s="293"/>
      <c r="L66" s="323">
        <v>1</v>
      </c>
      <c r="M66" s="351">
        <v>2</v>
      </c>
      <c r="Q66" s="480" t="s">
        <v>398</v>
      </c>
      <c r="R66" s="481"/>
      <c r="S66" s="481"/>
      <c r="T66" s="481"/>
      <c r="U66" s="481"/>
      <c r="V66" s="481"/>
      <c r="W66" s="481"/>
      <c r="X66" s="481"/>
      <c r="Y66" s="481"/>
      <c r="Z66" s="481"/>
      <c r="AA66" s="482"/>
      <c r="AC66" s="192"/>
      <c r="AD66" s="108"/>
      <c r="AE66" s="108"/>
      <c r="AF66" s="108"/>
      <c r="AG66" s="108"/>
      <c r="AH66" s="108"/>
      <c r="AI66" s="197"/>
      <c r="AJ66" s="131"/>
      <c r="AK66" s="131"/>
      <c r="AL66" s="131"/>
      <c r="AM66" s="131"/>
      <c r="AN66" s="131"/>
      <c r="AO66" s="189"/>
      <c r="AP66" s="185"/>
      <c r="AQ66" s="190"/>
      <c r="AR66" s="125"/>
      <c r="AS66" s="124"/>
      <c r="AT66" s="124"/>
      <c r="AU66" s="133" t="s">
        <v>80</v>
      </c>
      <c r="AV66" s="134" t="s">
        <v>81</v>
      </c>
      <c r="AW66" s="124"/>
      <c r="AX66" s="125"/>
      <c r="BW66" s="111">
        <v>55</v>
      </c>
    </row>
    <row r="67" spans="1:75" ht="16.5" customHeight="1" x14ac:dyDescent="0.25">
      <c r="B67" s="194" t="s">
        <v>201</v>
      </c>
      <c r="C67" s="195"/>
      <c r="D67" s="195"/>
      <c r="E67" s="337"/>
      <c r="F67" s="196"/>
      <c r="G67" s="256"/>
      <c r="I67" s="198" t="s">
        <v>167</v>
      </c>
      <c r="J67" s="191"/>
      <c r="K67" s="191"/>
      <c r="L67" s="335"/>
      <c r="M67" s="333"/>
      <c r="O67" s="108"/>
      <c r="P67" s="108"/>
      <c r="Q67" s="192" t="s">
        <v>20</v>
      </c>
      <c r="R67" s="108"/>
      <c r="S67" s="108"/>
      <c r="T67" s="108"/>
      <c r="U67" s="334"/>
      <c r="V67" s="186"/>
      <c r="W67" s="334"/>
      <c r="X67" s="108"/>
      <c r="Y67" s="108"/>
      <c r="Z67" s="108"/>
      <c r="AA67" s="197"/>
      <c r="AC67" s="192"/>
      <c r="AD67" s="108"/>
      <c r="AE67" s="108"/>
      <c r="AF67" s="108"/>
      <c r="AG67" s="108"/>
      <c r="AH67" s="108"/>
      <c r="AI67" s="197"/>
      <c r="AJ67" s="131"/>
      <c r="AK67" s="131"/>
      <c r="AL67" s="206"/>
      <c r="AM67" s="206"/>
      <c r="AN67" s="207"/>
      <c r="AO67" s="206"/>
      <c r="AT67" s="124"/>
      <c r="AU67" s="124"/>
      <c r="AV67" s="135"/>
      <c r="AW67" s="124"/>
      <c r="AX67" s="125"/>
    </row>
    <row r="68" spans="1:75" ht="16.5" customHeight="1" x14ac:dyDescent="0.25">
      <c r="B68" s="255"/>
      <c r="C68" s="255"/>
      <c r="D68" s="255"/>
      <c r="E68" s="255"/>
      <c r="F68" s="257"/>
      <c r="G68" s="255"/>
      <c r="I68" s="200" t="s">
        <v>156</v>
      </c>
      <c r="J68" s="201"/>
      <c r="K68" s="201"/>
      <c r="L68" s="336"/>
      <c r="M68" s="352"/>
      <c r="O68" s="195"/>
      <c r="P68" s="195"/>
      <c r="Q68" s="194" t="s">
        <v>121</v>
      </c>
      <c r="R68" s="195"/>
      <c r="S68" s="195"/>
      <c r="T68" s="195"/>
      <c r="U68" s="338"/>
      <c r="V68" s="196"/>
      <c r="W68" s="338"/>
      <c r="X68" s="195"/>
      <c r="Y68" s="195"/>
      <c r="Z68" s="195"/>
      <c r="AA68" s="199"/>
      <c r="AC68" s="194"/>
      <c r="AD68" s="195"/>
      <c r="AE68" s="195"/>
      <c r="AF68" s="195"/>
      <c r="AG68" s="195"/>
      <c r="AH68" s="195"/>
      <c r="AI68" s="199"/>
      <c r="AJ68" s="131"/>
      <c r="AK68" s="131"/>
      <c r="AL68" s="206"/>
      <c r="AM68" s="206"/>
      <c r="AN68" s="207"/>
      <c r="AO68" s="206"/>
      <c r="AT68" s="124"/>
      <c r="AU68" s="124"/>
      <c r="AV68" s="135"/>
      <c r="AW68" s="124"/>
      <c r="AX68" s="125"/>
    </row>
    <row r="69" spans="1:75" ht="5.25" customHeight="1" x14ac:dyDescent="0.25">
      <c r="AM69" s="125"/>
      <c r="AN69" s="126"/>
      <c r="AO69" s="125"/>
      <c r="AP69" s="125"/>
      <c r="AQ69" s="125"/>
      <c r="AR69" s="125"/>
      <c r="AS69" s="124"/>
      <c r="AT69" s="124"/>
      <c r="AU69" s="124"/>
      <c r="AV69" s="124"/>
      <c r="AW69" s="124"/>
      <c r="AX69" s="125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W69" s="111"/>
    </row>
    <row r="70" spans="1:75" s="111" customFormat="1" ht="18" customHeight="1" x14ac:dyDescent="0.25">
      <c r="B70" s="107"/>
      <c r="C70" s="312" t="s">
        <v>277</v>
      </c>
      <c r="D70" s="313"/>
      <c r="E70" s="313"/>
      <c r="F70" s="313"/>
      <c r="G70" s="313"/>
      <c r="H70" s="313"/>
      <c r="I70" s="313"/>
      <c r="J70" s="314"/>
      <c r="K70" s="473">
        <f>SUM(M51:M64)+SUM(L51:L64)+SUM(W67:W68)+P54+P55+P57+P58+SUM(U67:U68)+SUM(E51:E58)+SUM(G51:G58)+SUM(P50:P52)+SUM(L67:L68)+SUM(M67:M68)+SUM(W51:W55)+SUM(X51:X56)+SUM(P60:P61)+AF62+SUM(U55:U57)+SUM(E60:E67)+SUM(AF50:AF55)+SUM(AF57:AF57)+AF61+SUM(AI65)+SUM(Z56:Z58)+U61+AF63+AI62+AI63+SUM(AI50:AI55)+AI57+AI59+P63+AF59</f>
        <v>0</v>
      </c>
      <c r="L70" s="474"/>
      <c r="M70" s="475" t="s">
        <v>25</v>
      </c>
      <c r="N70" s="476"/>
      <c r="O70" s="476"/>
      <c r="P70" s="476"/>
      <c r="Q70" s="468">
        <f>SUM(Calcul!D44:D215)</f>
        <v>0</v>
      </c>
      <c r="R70" s="469"/>
      <c r="S70" s="136" t="s">
        <v>0</v>
      </c>
      <c r="T70" s="137"/>
      <c r="U70" s="470" t="s">
        <v>278</v>
      </c>
      <c r="V70" s="471"/>
      <c r="W70" s="471"/>
      <c r="X70" s="471"/>
      <c r="Y70" s="471"/>
      <c r="Z70" s="471"/>
      <c r="AA70" s="471"/>
      <c r="AB70" s="471"/>
      <c r="AC70" s="471"/>
      <c r="AD70" s="472"/>
      <c r="AE70" s="489">
        <f>IF(Q70=0,0,Q70/(AC11*AC13)*100)</f>
        <v>0</v>
      </c>
      <c r="AF70" s="490"/>
      <c r="AG70" s="491" t="s">
        <v>1</v>
      </c>
      <c r="AH70" s="405"/>
      <c r="AM70" s="129"/>
      <c r="AN70" s="129"/>
      <c r="AO70" s="129"/>
      <c r="AP70" s="129"/>
      <c r="AQ70" s="129"/>
      <c r="AR70" s="129"/>
      <c r="AS70" s="130"/>
      <c r="AT70" s="130"/>
      <c r="AU70" s="130"/>
      <c r="AV70" s="130"/>
      <c r="AW70" s="130"/>
      <c r="AX70" s="129"/>
      <c r="BW70" s="107">
        <v>62</v>
      </c>
    </row>
    <row r="71" spans="1:75" ht="3" customHeight="1" x14ac:dyDescent="0.25">
      <c r="AM71" s="125"/>
      <c r="AN71" s="126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BW71" s="111">
        <v>63</v>
      </c>
    </row>
    <row r="72" spans="1:75" ht="18.75" customHeight="1" x14ac:dyDescent="0.25">
      <c r="C72" s="307" t="s">
        <v>279</v>
      </c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  <c r="X72" s="306"/>
      <c r="Y72" s="306"/>
      <c r="Z72" s="311" t="s">
        <v>280</v>
      </c>
      <c r="AA72" s="306"/>
      <c r="AB72" s="306"/>
      <c r="AC72" s="306"/>
      <c r="AD72" s="306"/>
      <c r="AE72" s="306"/>
      <c r="AF72" s="477" t="e">
        <f>AVERAGE(P78:V78)</f>
        <v>#DIV/0!</v>
      </c>
      <c r="AG72" s="477"/>
      <c r="AH72" s="477"/>
      <c r="AI72" s="11"/>
      <c r="AQ72" s="125"/>
      <c r="AR72" s="125"/>
      <c r="AS72" s="125"/>
      <c r="AT72" s="125"/>
      <c r="AU72" s="125"/>
      <c r="AV72" s="125"/>
      <c r="AW72" s="125"/>
      <c r="BW72" s="111">
        <v>71</v>
      </c>
    </row>
    <row r="73" spans="1:75" ht="6" customHeight="1" x14ac:dyDescent="0.25">
      <c r="BW73" s="107">
        <v>72</v>
      </c>
    </row>
    <row r="74" spans="1:75" ht="14.5" x14ac:dyDescent="0.25">
      <c r="B74" s="423" t="s">
        <v>281</v>
      </c>
      <c r="C74" s="423"/>
      <c r="D74" s="423"/>
      <c r="E74" s="423"/>
      <c r="F74" s="423"/>
      <c r="G74" s="423"/>
      <c r="H74" s="423"/>
      <c r="I74" s="423"/>
      <c r="J74" s="423"/>
      <c r="K74" s="423"/>
      <c r="L74" s="423"/>
      <c r="M74" s="423"/>
      <c r="N74" s="423"/>
      <c r="O74" s="423"/>
      <c r="P74" s="423"/>
      <c r="Q74" s="423"/>
      <c r="R74" s="423"/>
      <c r="S74" s="423"/>
      <c r="T74" s="423"/>
      <c r="U74" s="423"/>
      <c r="V74" s="423"/>
      <c r="W74" s="423"/>
      <c r="X74" s="423"/>
      <c r="Y74" s="423"/>
      <c r="Z74" s="423"/>
      <c r="AA74" s="423"/>
      <c r="AB74" s="423"/>
      <c r="AC74" s="423"/>
      <c r="AD74" s="423"/>
      <c r="AE74" s="423"/>
      <c r="AF74" s="423"/>
      <c r="AG74" s="423"/>
      <c r="AH74" s="423"/>
      <c r="AI74" s="423"/>
      <c r="BW74" s="111">
        <v>73</v>
      </c>
    </row>
    <row r="75" spans="1:75" ht="20.25" customHeight="1" x14ac:dyDescent="0.25">
      <c r="BH75" s="111"/>
      <c r="BI75" s="111"/>
      <c r="BJ75" s="111"/>
      <c r="BW75" s="107">
        <v>74</v>
      </c>
    </row>
    <row r="76" spans="1:75" ht="14.5" x14ac:dyDescent="0.25">
      <c r="A76" s="11"/>
      <c r="C76" s="11" t="s">
        <v>26</v>
      </c>
      <c r="K76" s="408">
        <v>125</v>
      </c>
      <c r="L76" s="424"/>
      <c r="M76" s="412">
        <v>250</v>
      </c>
      <c r="N76" s="392"/>
      <c r="O76" s="393"/>
      <c r="P76" s="408">
        <v>500</v>
      </c>
      <c r="Q76" s="409"/>
      <c r="R76" s="409"/>
      <c r="S76" s="408">
        <v>1000</v>
      </c>
      <c r="T76" s="409"/>
      <c r="U76" s="409"/>
      <c r="V76" s="412">
        <v>2000</v>
      </c>
      <c r="W76" s="392"/>
      <c r="X76" s="393"/>
      <c r="Y76" s="408">
        <v>4000</v>
      </c>
      <c r="Z76" s="424"/>
      <c r="AA76" s="202"/>
      <c r="AJ76" s="138"/>
      <c r="AN76" s="107"/>
      <c r="BW76" s="111">
        <v>75</v>
      </c>
    </row>
    <row r="77" spans="1:75" x14ac:dyDescent="0.25">
      <c r="D77" s="141" t="s">
        <v>282</v>
      </c>
      <c r="E77" s="139"/>
      <c r="F77" s="139"/>
      <c r="G77" s="139"/>
      <c r="H77" s="139"/>
      <c r="I77" s="139"/>
      <c r="J77" s="139"/>
      <c r="K77" s="419" t="e">
        <f>Calcul!E251</f>
        <v>#DIV/0!</v>
      </c>
      <c r="L77" s="420"/>
      <c r="M77" s="413" t="e">
        <f>Calcul!F251</f>
        <v>#DIV/0!</v>
      </c>
      <c r="N77" s="414"/>
      <c r="O77" s="415"/>
      <c r="P77" s="419" t="e">
        <f>Calcul!G251</f>
        <v>#DIV/0!</v>
      </c>
      <c r="Q77" s="420"/>
      <c r="R77" s="420"/>
      <c r="S77" s="419" t="e">
        <f>Calcul!H251</f>
        <v>#DIV/0!</v>
      </c>
      <c r="T77" s="420"/>
      <c r="U77" s="420"/>
      <c r="V77" s="413" t="e">
        <f>Calcul!I251</f>
        <v>#DIV/0!</v>
      </c>
      <c r="W77" s="414"/>
      <c r="X77" s="415"/>
      <c r="Y77" s="419" t="e">
        <f>Calcul!J251</f>
        <v>#DIV/0!</v>
      </c>
      <c r="Z77" s="420"/>
      <c r="AA77" s="203"/>
      <c r="AJ77" s="138"/>
      <c r="AN77" s="107"/>
      <c r="BH77" s="11"/>
      <c r="BI77" s="11"/>
      <c r="BJ77" s="11"/>
      <c r="BW77" s="107">
        <v>76</v>
      </c>
    </row>
    <row r="78" spans="1:75" ht="14.5" x14ac:dyDescent="0.25">
      <c r="D78" s="142" t="s">
        <v>283</v>
      </c>
      <c r="E78" s="140"/>
      <c r="F78" s="140"/>
      <c r="G78" s="140"/>
      <c r="H78" s="140"/>
      <c r="I78" s="140"/>
      <c r="J78" s="140"/>
      <c r="K78" s="421" t="e">
        <f>Calcul!E256</f>
        <v>#DIV/0!</v>
      </c>
      <c r="L78" s="422"/>
      <c r="M78" s="416" t="e">
        <f>Calcul!F256</f>
        <v>#DIV/0!</v>
      </c>
      <c r="N78" s="417"/>
      <c r="O78" s="418"/>
      <c r="P78" s="421" t="e">
        <f>Calcul!G256</f>
        <v>#DIV/0!</v>
      </c>
      <c r="Q78" s="422"/>
      <c r="R78" s="422"/>
      <c r="S78" s="421" t="e">
        <f>Calcul!H256</f>
        <v>#DIV/0!</v>
      </c>
      <c r="T78" s="422"/>
      <c r="U78" s="422"/>
      <c r="V78" s="416" t="e">
        <f>Calcul!I256</f>
        <v>#DIV/0!</v>
      </c>
      <c r="W78" s="417"/>
      <c r="X78" s="418"/>
      <c r="Y78" s="421" t="e">
        <f>Calcul!J256</f>
        <v>#DIV/0!</v>
      </c>
      <c r="Z78" s="422"/>
      <c r="AA78" s="203"/>
      <c r="AJ78" s="138"/>
      <c r="AN78" s="107"/>
      <c r="BW78" s="111">
        <v>77</v>
      </c>
    </row>
    <row r="79" spans="1:75" ht="16.5" customHeight="1" x14ac:dyDescent="0.25">
      <c r="H79" s="14"/>
      <c r="AJ79" s="138"/>
      <c r="AN79" s="107"/>
      <c r="BI79" s="111"/>
      <c r="BW79" s="107">
        <v>78</v>
      </c>
    </row>
    <row r="80" spans="1:75" ht="14.5" x14ac:dyDescent="0.25">
      <c r="C80" s="11" t="s">
        <v>26</v>
      </c>
      <c r="K80" s="408" t="s">
        <v>29</v>
      </c>
      <c r="L80" s="409"/>
      <c r="M80" s="409"/>
      <c r="N80" s="409"/>
      <c r="O80" s="409"/>
      <c r="P80" s="408" t="s">
        <v>30</v>
      </c>
      <c r="Q80" s="409"/>
      <c r="R80" s="409"/>
      <c r="S80" s="409"/>
      <c r="T80" s="409"/>
      <c r="U80" s="408" t="s">
        <v>31</v>
      </c>
      <c r="V80" s="409"/>
      <c r="W80" s="409"/>
      <c r="X80" s="409"/>
      <c r="Y80" s="409"/>
      <c r="Z80" s="409"/>
      <c r="AJ80" s="138"/>
      <c r="AN80" s="107"/>
      <c r="BW80" s="111">
        <v>79</v>
      </c>
    </row>
    <row r="81" spans="4:75" x14ac:dyDescent="0.25">
      <c r="D81" s="141" t="s">
        <v>282</v>
      </c>
      <c r="E81" s="139"/>
      <c r="F81" s="139"/>
      <c r="G81" s="139"/>
      <c r="H81" s="139"/>
      <c r="I81" s="139"/>
      <c r="J81" s="139"/>
      <c r="K81" s="425" t="e">
        <f>AVERAGE(K77:O77)</f>
        <v>#DIV/0!</v>
      </c>
      <c r="L81" s="426"/>
      <c r="M81" s="426"/>
      <c r="N81" s="426"/>
      <c r="O81" s="426"/>
      <c r="P81" s="410" t="e">
        <f>AVERAGE(P77:U77)</f>
        <v>#DIV/0!</v>
      </c>
      <c r="Q81" s="395"/>
      <c r="R81" s="395"/>
      <c r="S81" s="395"/>
      <c r="T81" s="396"/>
      <c r="U81" s="425" t="e">
        <f>AVERAGE(V77:Z77)</f>
        <v>#DIV/0!</v>
      </c>
      <c r="V81" s="426"/>
      <c r="W81" s="426"/>
      <c r="X81" s="426"/>
      <c r="Y81" s="426"/>
      <c r="Z81" s="426"/>
      <c r="AJ81" s="138"/>
      <c r="AN81" s="107"/>
      <c r="BW81" s="107">
        <v>80</v>
      </c>
    </row>
    <row r="82" spans="4:75" x14ac:dyDescent="0.25">
      <c r="D82" s="142" t="s">
        <v>283</v>
      </c>
      <c r="E82" s="140"/>
      <c r="F82" s="140"/>
      <c r="G82" s="140"/>
      <c r="H82" s="140"/>
      <c r="I82" s="140"/>
      <c r="J82" s="140"/>
      <c r="K82" s="427" t="e">
        <f>AVERAGE(K78:O78)</f>
        <v>#DIV/0!</v>
      </c>
      <c r="L82" s="428"/>
      <c r="M82" s="428"/>
      <c r="N82" s="428"/>
      <c r="O82" s="428"/>
      <c r="P82" s="411" t="e">
        <f>AVERAGE(P78:U78)</f>
        <v>#DIV/0!</v>
      </c>
      <c r="Q82" s="398"/>
      <c r="R82" s="398"/>
      <c r="S82" s="398"/>
      <c r="T82" s="399"/>
      <c r="U82" s="427" t="e">
        <f>AVERAGE(V78:Z78)</f>
        <v>#DIV/0!</v>
      </c>
      <c r="V82" s="428"/>
      <c r="W82" s="428"/>
      <c r="X82" s="428"/>
      <c r="Y82" s="428"/>
      <c r="Z82" s="428"/>
      <c r="AJ82" s="138"/>
      <c r="AN82" s="107"/>
      <c r="BJ82" s="14"/>
    </row>
    <row r="83" spans="4:75" ht="20.25" customHeight="1" x14ac:dyDescent="0.25">
      <c r="J83" s="108"/>
      <c r="AN83" s="107"/>
      <c r="BJ83" s="14"/>
    </row>
    <row r="84" spans="4:75" x14ac:dyDescent="0.25">
      <c r="H84" s="17"/>
      <c r="I84" s="17"/>
      <c r="J84" s="108"/>
      <c r="K84" s="108"/>
      <c r="L84" s="108"/>
      <c r="M84" s="108"/>
      <c r="N84" s="108"/>
      <c r="AN84" s="107"/>
      <c r="BJ84" s="14"/>
    </row>
    <row r="85" spans="4:75" x14ac:dyDescent="0.25">
      <c r="J85" s="108"/>
      <c r="K85" s="108"/>
      <c r="L85" s="108"/>
      <c r="M85" s="108"/>
      <c r="N85" s="108"/>
      <c r="AL85" s="11"/>
      <c r="AM85" s="11"/>
      <c r="AN85" s="107"/>
      <c r="AQ85" s="11"/>
      <c r="AR85" s="11"/>
      <c r="AS85" s="11"/>
      <c r="AT85" s="11"/>
    </row>
    <row r="86" spans="4:75" x14ac:dyDescent="0.25">
      <c r="J86" s="108"/>
      <c r="K86" s="108"/>
      <c r="L86" s="108"/>
      <c r="M86" s="108"/>
      <c r="N86" s="108"/>
      <c r="W86" s="131"/>
      <c r="X86" s="131"/>
      <c r="AN86" s="107"/>
    </row>
    <row r="87" spans="4:75" x14ac:dyDescent="0.25">
      <c r="J87" s="108"/>
      <c r="K87" s="108"/>
      <c r="L87" s="108"/>
      <c r="M87" s="108"/>
      <c r="N87" s="108"/>
      <c r="W87" s="487"/>
      <c r="X87" s="487"/>
      <c r="AN87" s="107"/>
    </row>
    <row r="88" spans="4:75" x14ac:dyDescent="0.25">
      <c r="H88" s="17"/>
      <c r="I88" s="17"/>
      <c r="J88" s="108"/>
      <c r="K88" s="108"/>
      <c r="L88" s="108"/>
      <c r="M88" s="108"/>
      <c r="N88" s="108"/>
      <c r="W88" s="487"/>
      <c r="X88" s="487"/>
      <c r="AN88" s="107"/>
    </row>
    <row r="89" spans="4:75" x14ac:dyDescent="0.25">
      <c r="W89" s="488"/>
      <c r="X89" s="488"/>
      <c r="AN89" s="107"/>
    </row>
    <row r="90" spans="4:75" x14ac:dyDescent="0.25">
      <c r="W90" s="487"/>
      <c r="X90" s="487"/>
      <c r="AN90" s="107"/>
    </row>
    <row r="91" spans="4:75" x14ac:dyDescent="0.25">
      <c r="W91" s="488"/>
      <c r="X91" s="488"/>
      <c r="AN91" s="107"/>
    </row>
    <row r="92" spans="4:75" x14ac:dyDescent="0.25">
      <c r="W92" s="131"/>
      <c r="X92" s="131"/>
      <c r="AN92" s="107"/>
    </row>
    <row r="93" spans="4:75" x14ac:dyDescent="0.25">
      <c r="W93" s="131"/>
      <c r="X93" s="131"/>
      <c r="AN93" s="107"/>
    </row>
    <row r="94" spans="4:75" x14ac:dyDescent="0.25">
      <c r="W94" s="131"/>
      <c r="X94" s="131"/>
      <c r="AN94" s="107"/>
    </row>
    <row r="95" spans="4:75" x14ac:dyDescent="0.25">
      <c r="W95" s="131"/>
      <c r="X95" s="131"/>
      <c r="AN95" s="107"/>
    </row>
    <row r="96" spans="4:75" x14ac:dyDescent="0.25">
      <c r="W96" s="131"/>
      <c r="X96" s="131"/>
      <c r="AN96" s="107"/>
    </row>
    <row r="97" spans="40:60" x14ac:dyDescent="0.25">
      <c r="AN97" s="107"/>
      <c r="BH97" s="11"/>
    </row>
    <row r="98" spans="40:60" x14ac:dyDescent="0.25">
      <c r="AN98" s="107"/>
    </row>
    <row r="99" spans="40:60" x14ac:dyDescent="0.25">
      <c r="AN99" s="107"/>
    </row>
    <row r="100" spans="40:60" x14ac:dyDescent="0.25">
      <c r="AN100" s="107"/>
    </row>
    <row r="101" spans="40:60" x14ac:dyDescent="0.25">
      <c r="AN101" s="107"/>
    </row>
    <row r="102" spans="40:60" x14ac:dyDescent="0.25">
      <c r="AN102" s="107"/>
    </row>
    <row r="103" spans="40:60" x14ac:dyDescent="0.25">
      <c r="AN103" s="107"/>
    </row>
    <row r="104" spans="40:60" x14ac:dyDescent="0.25">
      <c r="AN104" s="107"/>
    </row>
    <row r="105" spans="40:60" x14ac:dyDescent="0.25">
      <c r="AN105" s="107"/>
    </row>
    <row r="106" spans="40:60" x14ac:dyDescent="0.25">
      <c r="AN106" s="107"/>
    </row>
  </sheetData>
  <sheetProtection algorithmName="SHA-512" hashValue="p9RwSNMPEO0Bkr5RdDNhUbS1BvJH0D45XAVuyiCLWOxxTb1H7PQ3v3G0NkphOGKbuTcbgwGitmmAY9FatfGZGg==" saltValue="kzWjIq90t28DoiKMKIddfQ==" spinCount="100000" sheet="1" objects="1" scenarios="1"/>
  <dataConsolidate/>
  <mergeCells count="96">
    <mergeCell ref="AP49:AP50"/>
    <mergeCell ref="AQ49:AQ50"/>
    <mergeCell ref="T19:Y19"/>
    <mergeCell ref="B34:AI34"/>
    <mergeCell ref="AF45:AH45"/>
    <mergeCell ref="M40:X40"/>
    <mergeCell ref="Y40:AH40"/>
    <mergeCell ref="W28:Y28"/>
    <mergeCell ref="C40:L40"/>
    <mergeCell ref="W30:Y30"/>
    <mergeCell ref="W29:Y29"/>
    <mergeCell ref="AH27:AI27"/>
    <mergeCell ref="AH28:AI28"/>
    <mergeCell ref="AH29:AI29"/>
    <mergeCell ref="T36:V36"/>
    <mergeCell ref="T38:V38"/>
    <mergeCell ref="AN49:AN50"/>
    <mergeCell ref="AO49:AO50"/>
    <mergeCell ref="W90:X90"/>
    <mergeCell ref="W91:X91"/>
    <mergeCell ref="W87:X87"/>
    <mergeCell ref="W88:X88"/>
    <mergeCell ref="W89:X89"/>
    <mergeCell ref="AE70:AF70"/>
    <mergeCell ref="AF72:AH72"/>
    <mergeCell ref="AG70:AH70"/>
    <mergeCell ref="U80:Z80"/>
    <mergeCell ref="U81:Z81"/>
    <mergeCell ref="U82:Z82"/>
    <mergeCell ref="Y76:Z76"/>
    <mergeCell ref="Y77:Z77"/>
    <mergeCell ref="Y78:Z78"/>
    <mergeCell ref="AF36:AG36"/>
    <mergeCell ref="I38:K38"/>
    <mergeCell ref="Q70:R70"/>
    <mergeCell ref="U70:AD70"/>
    <mergeCell ref="K70:L70"/>
    <mergeCell ref="M70:P70"/>
    <mergeCell ref="AF44:AH44"/>
    <mergeCell ref="AF46:AH46"/>
    <mergeCell ref="B47:AI47"/>
    <mergeCell ref="Q66:AA66"/>
    <mergeCell ref="B5:AI5"/>
    <mergeCell ref="AG32:AI32"/>
    <mergeCell ref="AH24:AI24"/>
    <mergeCell ref="AH25:AI25"/>
    <mergeCell ref="AH26:AI26"/>
    <mergeCell ref="J25:L25"/>
    <mergeCell ref="J26:L26"/>
    <mergeCell ref="J27:L27"/>
    <mergeCell ref="J28:L28"/>
    <mergeCell ref="J29:L29"/>
    <mergeCell ref="W25:Y25"/>
    <mergeCell ref="W26:Y26"/>
    <mergeCell ref="W27:Y27"/>
    <mergeCell ref="AC11:AH11"/>
    <mergeCell ref="B22:AI22"/>
    <mergeCell ref="AC15:AH15"/>
    <mergeCell ref="F6:O6"/>
    <mergeCell ref="G7:AH7"/>
    <mergeCell ref="AE6:AH6"/>
    <mergeCell ref="B42:AI42"/>
    <mergeCell ref="H11:Q11"/>
    <mergeCell ref="H13:Q13"/>
    <mergeCell ref="W24:Y24"/>
    <mergeCell ref="J24:L24"/>
    <mergeCell ref="Z20:AE20"/>
    <mergeCell ref="B9:AI9"/>
    <mergeCell ref="AF38:AG38"/>
    <mergeCell ref="AH30:AI30"/>
    <mergeCell ref="AC13:AH13"/>
    <mergeCell ref="T6:Z6"/>
    <mergeCell ref="I36:K36"/>
    <mergeCell ref="Z17:AE17"/>
    <mergeCell ref="K80:O80"/>
    <mergeCell ref="K81:O81"/>
    <mergeCell ref="K82:O82"/>
    <mergeCell ref="M77:O77"/>
    <mergeCell ref="M78:O78"/>
    <mergeCell ref="K77:L77"/>
    <mergeCell ref="K78:L78"/>
    <mergeCell ref="B74:AI74"/>
    <mergeCell ref="P77:R77"/>
    <mergeCell ref="P78:R78"/>
    <mergeCell ref="M76:O76"/>
    <mergeCell ref="P76:R76"/>
    <mergeCell ref="K76:L76"/>
    <mergeCell ref="P80:T80"/>
    <mergeCell ref="P81:T81"/>
    <mergeCell ref="P82:T82"/>
    <mergeCell ref="V76:X76"/>
    <mergeCell ref="V77:X77"/>
    <mergeCell ref="V78:X78"/>
    <mergeCell ref="S76:U76"/>
    <mergeCell ref="S77:U77"/>
    <mergeCell ref="S78:U78"/>
  </mergeCells>
  <conditionalFormatting sqref="C40:L40">
    <cfRule type="colorScale" priority="1">
      <colorScale>
        <cfvo type="min"/>
        <cfvo type="max"/>
        <color rgb="FFFF7128"/>
        <color rgb="FFFFEF9C"/>
      </colorScale>
    </cfRule>
  </conditionalFormatting>
  <dataValidations count="4">
    <dataValidation type="list" allowBlank="1" showInputMessage="1" showErrorMessage="1" sqref="AI62:AI63 E51:E58 P54:P55 U67:U68 W67:W68 P57:P58 G51:G58 L51:M64 Z55:AA58 P50:P52 E60:E67 L67:M68 P60:P61 AF61:AF63 AI65 Z51:AA53 P63 AI50:AI55 AF50:AF55 AI57 AF57 AF59 AI59 U55:V58 U51:V53 U61:V61 U63:U65 Z63:Z65" xr:uid="{00000000-0002-0000-0100-000000000000}">
      <formula1>nombre</formula1>
    </dataValidation>
    <dataValidation type="whole" operator="greaterThanOrEqual" allowBlank="1" showInputMessage="1" showErrorMessage="1" sqref="T19" xr:uid="{00000000-0002-0000-0100-000001000000}">
      <formula1>0</formula1>
    </dataValidation>
    <dataValidation type="decimal" operator="greaterThan" allowBlank="1" showInputMessage="1" showErrorMessage="1" sqref="AC11 AC15 AC13" xr:uid="{00000000-0002-0000-0100-000002000000}">
      <formula1>0</formula1>
    </dataValidation>
    <dataValidation type="list" allowBlank="1" showInputMessage="1" showErrorMessage="1" sqref="H13" xr:uid="{00000000-0002-0000-0100-000003000000}">
      <formula1>$BT$13:$BT$17</formula1>
    </dataValidation>
  </dataValidations>
  <pageMargins left="0.23622047244094491" right="0.23622047244094491" top="0.74803149606299213" bottom="0.74803149606299213" header="0.31496062992125984" footer="0.31496062992125984"/>
  <pageSetup paperSize="9" scale="80" fitToHeight="2" orientation="portrait" r:id="rId1"/>
  <rowBreaks count="1" manualBreakCount="1">
    <brk id="73" min="1" max="34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4000000}">
          <x14:formula1>
            <xm:f>Calcul!$AA$7:$AA$11</xm:f>
          </x14:formula1>
          <xm:sqref>H11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C3:O202"/>
  <sheetViews>
    <sheetView zoomScale="85" zoomScaleNormal="85" workbookViewId="0">
      <selection activeCell="G72" sqref="G72"/>
    </sheetView>
  </sheetViews>
  <sheetFormatPr baseColWidth="10" defaultColWidth="11.453125" defaultRowHeight="13" x14ac:dyDescent="0.3"/>
  <cols>
    <col min="1" max="16384" width="11.453125" style="87"/>
  </cols>
  <sheetData>
    <row r="3" spans="3:15" ht="14.5" x14ac:dyDescent="0.35">
      <c r="C3" s="86">
        <v>0</v>
      </c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3:15" x14ac:dyDescent="0.3">
      <c r="C4" s="88">
        <v>1</v>
      </c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3:15" x14ac:dyDescent="0.3">
      <c r="C5" s="88">
        <v>2</v>
      </c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3:15" x14ac:dyDescent="0.3">
      <c r="C6" s="88">
        <v>3</v>
      </c>
      <c r="F6" s="88"/>
      <c r="G6" s="88"/>
      <c r="H6" s="88"/>
      <c r="I6" s="88"/>
      <c r="J6" s="88"/>
      <c r="K6" s="88"/>
      <c r="L6" s="88"/>
      <c r="M6" s="88"/>
      <c r="N6" s="88"/>
      <c r="O6" s="88"/>
    </row>
    <row r="7" spans="3:15" x14ac:dyDescent="0.3">
      <c r="C7" s="88">
        <v>4</v>
      </c>
      <c r="F7" s="88"/>
      <c r="G7" s="88"/>
      <c r="H7" s="88"/>
      <c r="I7" s="88"/>
      <c r="J7" s="88"/>
      <c r="K7" s="88"/>
      <c r="L7" s="88"/>
      <c r="M7" s="88"/>
      <c r="N7" s="88"/>
      <c r="O7" s="88"/>
    </row>
    <row r="8" spans="3:15" x14ac:dyDescent="0.3">
      <c r="C8" s="88">
        <v>5</v>
      </c>
      <c r="F8" s="88"/>
      <c r="G8" s="88"/>
      <c r="H8" s="88"/>
      <c r="I8" s="89">
        <f>'Notice de calcul'!K76</f>
        <v>125</v>
      </c>
      <c r="J8" s="89">
        <f>'Notice de calcul'!M76</f>
        <v>250</v>
      </c>
      <c r="K8" s="89">
        <f>'Notice de calcul'!P76</f>
        <v>500</v>
      </c>
      <c r="L8" s="89">
        <f>'Notice de calcul'!S76</f>
        <v>1000</v>
      </c>
      <c r="M8" s="89">
        <f>'Notice de calcul'!V76</f>
        <v>2000</v>
      </c>
      <c r="N8" s="89">
        <f>'Notice de calcul'!Y76</f>
        <v>4000</v>
      </c>
      <c r="O8" s="88"/>
    </row>
    <row r="9" spans="3:15" x14ac:dyDescent="0.3">
      <c r="C9" s="88">
        <v>6</v>
      </c>
      <c r="F9" s="88"/>
      <c r="G9" s="90"/>
      <c r="H9" s="91" t="s">
        <v>27</v>
      </c>
      <c r="I9" s="92" t="e">
        <f>'Notice de calcul'!K77</f>
        <v>#DIV/0!</v>
      </c>
      <c r="J9" s="92" t="e">
        <f>'Notice de calcul'!M77</f>
        <v>#DIV/0!</v>
      </c>
      <c r="K9" s="92" t="e">
        <f>'Notice de calcul'!P77</f>
        <v>#DIV/0!</v>
      </c>
      <c r="L9" s="92" t="e">
        <f>'Notice de calcul'!S77</f>
        <v>#DIV/0!</v>
      </c>
      <c r="M9" s="92" t="e">
        <f>'Notice de calcul'!V77</f>
        <v>#DIV/0!</v>
      </c>
      <c r="N9" s="92" t="e">
        <f>'Notice de calcul'!Y77</f>
        <v>#DIV/0!</v>
      </c>
      <c r="O9" s="88"/>
    </row>
    <row r="10" spans="3:15" x14ac:dyDescent="0.3">
      <c r="C10" s="88">
        <v>7</v>
      </c>
      <c r="F10" s="88"/>
      <c r="G10" s="93"/>
      <c r="H10" s="94" t="s">
        <v>28</v>
      </c>
      <c r="I10" s="92" t="e">
        <f>'Notice de calcul'!K78</f>
        <v>#DIV/0!</v>
      </c>
      <c r="J10" s="92" t="e">
        <f>'Notice de calcul'!M78</f>
        <v>#DIV/0!</v>
      </c>
      <c r="K10" s="92" t="e">
        <f>'Notice de calcul'!P78</f>
        <v>#DIV/0!</v>
      </c>
      <c r="L10" s="92" t="e">
        <f>'Notice de calcul'!S78</f>
        <v>#DIV/0!</v>
      </c>
      <c r="M10" s="92" t="e">
        <f>'Notice de calcul'!V78</f>
        <v>#DIV/0!</v>
      </c>
      <c r="N10" s="92" t="e">
        <f>'Notice de calcul'!Y78</f>
        <v>#DIV/0!</v>
      </c>
      <c r="O10" s="88"/>
    </row>
    <row r="11" spans="3:15" x14ac:dyDescent="0.3">
      <c r="C11" s="88">
        <v>8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</row>
    <row r="12" spans="3:15" x14ac:dyDescent="0.3">
      <c r="C12" s="88">
        <v>9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pans="3:15" x14ac:dyDescent="0.3">
      <c r="C13" s="88">
        <v>10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</row>
    <row r="14" spans="3:15" x14ac:dyDescent="0.3">
      <c r="C14" s="88">
        <v>11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</row>
    <row r="15" spans="3:15" x14ac:dyDescent="0.3">
      <c r="C15" s="88">
        <v>12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3:15" x14ac:dyDescent="0.3">
      <c r="C16" s="88">
        <v>13</v>
      </c>
      <c r="F16" s="88"/>
      <c r="G16" s="88"/>
      <c r="H16" s="88"/>
      <c r="I16" s="95" t="s">
        <v>79</v>
      </c>
      <c r="J16" s="88">
        <f>+SUM('Notice de calcul'!M54:M64)+SUM('Notice de calcul'!L54:L64)</f>
        <v>0</v>
      </c>
      <c r="K16" s="88"/>
      <c r="L16" s="88"/>
      <c r="M16" s="88"/>
      <c r="N16" s="88"/>
      <c r="O16" s="88"/>
    </row>
    <row r="17" spans="3:3" x14ac:dyDescent="0.3">
      <c r="C17" s="88">
        <v>14</v>
      </c>
    </row>
    <row r="18" spans="3:3" x14ac:dyDescent="0.3">
      <c r="C18" s="88">
        <v>15</v>
      </c>
    </row>
    <row r="19" spans="3:3" x14ac:dyDescent="0.3">
      <c r="C19" s="88">
        <v>16</v>
      </c>
    </row>
    <row r="20" spans="3:3" x14ac:dyDescent="0.3">
      <c r="C20" s="88">
        <v>17</v>
      </c>
    </row>
    <row r="21" spans="3:3" x14ac:dyDescent="0.3">
      <c r="C21" s="88">
        <v>18</v>
      </c>
    </row>
    <row r="22" spans="3:3" x14ac:dyDescent="0.3">
      <c r="C22" s="88">
        <v>19</v>
      </c>
    </row>
    <row r="23" spans="3:3" x14ac:dyDescent="0.3">
      <c r="C23" s="88">
        <v>20</v>
      </c>
    </row>
    <row r="24" spans="3:3" x14ac:dyDescent="0.3">
      <c r="C24" s="88">
        <v>21</v>
      </c>
    </row>
    <row r="25" spans="3:3" x14ac:dyDescent="0.3">
      <c r="C25" s="88">
        <v>22</v>
      </c>
    </row>
    <row r="26" spans="3:3" x14ac:dyDescent="0.3">
      <c r="C26" s="88">
        <v>23</v>
      </c>
    </row>
    <row r="27" spans="3:3" x14ac:dyDescent="0.3">
      <c r="C27" s="88">
        <v>24</v>
      </c>
    </row>
    <row r="28" spans="3:3" x14ac:dyDescent="0.3">
      <c r="C28" s="88">
        <v>25</v>
      </c>
    </row>
    <row r="29" spans="3:3" x14ac:dyDescent="0.3">
      <c r="C29" s="88">
        <v>26</v>
      </c>
    </row>
    <row r="30" spans="3:3" x14ac:dyDescent="0.3">
      <c r="C30" s="88">
        <v>27</v>
      </c>
    </row>
    <row r="31" spans="3:3" x14ac:dyDescent="0.3">
      <c r="C31" s="88">
        <v>28</v>
      </c>
    </row>
    <row r="32" spans="3:3" x14ac:dyDescent="0.3">
      <c r="C32" s="88">
        <v>29</v>
      </c>
    </row>
    <row r="33" spans="3:3" x14ac:dyDescent="0.3">
      <c r="C33" s="88">
        <v>30</v>
      </c>
    </row>
    <row r="34" spans="3:3" x14ac:dyDescent="0.3">
      <c r="C34" s="88">
        <v>31</v>
      </c>
    </row>
    <row r="35" spans="3:3" x14ac:dyDescent="0.3">
      <c r="C35" s="88">
        <v>32</v>
      </c>
    </row>
    <row r="36" spans="3:3" x14ac:dyDescent="0.3">
      <c r="C36" s="88">
        <v>33</v>
      </c>
    </row>
    <row r="37" spans="3:3" x14ac:dyDescent="0.3">
      <c r="C37" s="88">
        <v>34</v>
      </c>
    </row>
    <row r="38" spans="3:3" x14ac:dyDescent="0.3">
      <c r="C38" s="88">
        <v>35</v>
      </c>
    </row>
    <row r="39" spans="3:3" x14ac:dyDescent="0.3">
      <c r="C39" s="88">
        <v>36</v>
      </c>
    </row>
    <row r="40" spans="3:3" x14ac:dyDescent="0.3">
      <c r="C40" s="88">
        <v>38</v>
      </c>
    </row>
    <row r="41" spans="3:3" x14ac:dyDescent="0.3">
      <c r="C41" s="88">
        <v>39</v>
      </c>
    </row>
    <row r="42" spans="3:3" x14ac:dyDescent="0.3">
      <c r="C42" s="88">
        <v>40</v>
      </c>
    </row>
    <row r="43" spans="3:3" x14ac:dyDescent="0.3">
      <c r="C43" s="88">
        <v>41</v>
      </c>
    </row>
    <row r="44" spans="3:3" x14ac:dyDescent="0.3">
      <c r="C44" s="88">
        <v>42</v>
      </c>
    </row>
    <row r="45" spans="3:3" x14ac:dyDescent="0.3">
      <c r="C45" s="88">
        <v>43</v>
      </c>
    </row>
    <row r="46" spans="3:3" x14ac:dyDescent="0.3">
      <c r="C46" s="88">
        <v>44</v>
      </c>
    </row>
    <row r="47" spans="3:3" x14ac:dyDescent="0.3">
      <c r="C47" s="88">
        <v>45</v>
      </c>
    </row>
    <row r="48" spans="3:3" x14ac:dyDescent="0.3">
      <c r="C48" s="88">
        <v>46</v>
      </c>
    </row>
    <row r="49" spans="3:3" x14ac:dyDescent="0.3">
      <c r="C49" s="88">
        <v>47</v>
      </c>
    </row>
    <row r="50" spans="3:3" x14ac:dyDescent="0.3">
      <c r="C50" s="88">
        <v>48</v>
      </c>
    </row>
    <row r="51" spans="3:3" x14ac:dyDescent="0.3">
      <c r="C51" s="88">
        <v>49</v>
      </c>
    </row>
    <row r="52" spans="3:3" x14ac:dyDescent="0.3">
      <c r="C52" s="88">
        <v>50</v>
      </c>
    </row>
    <row r="53" spans="3:3" x14ac:dyDescent="0.3">
      <c r="C53" s="88">
        <v>51</v>
      </c>
    </row>
    <row r="54" spans="3:3" x14ac:dyDescent="0.3">
      <c r="C54" s="88">
        <v>52</v>
      </c>
    </row>
    <row r="55" spans="3:3" x14ac:dyDescent="0.3">
      <c r="C55" s="88">
        <v>53</v>
      </c>
    </row>
    <row r="56" spans="3:3" x14ac:dyDescent="0.3">
      <c r="C56" s="88">
        <v>54</v>
      </c>
    </row>
    <row r="57" spans="3:3" x14ac:dyDescent="0.3">
      <c r="C57" s="88">
        <v>55</v>
      </c>
    </row>
    <row r="58" spans="3:3" x14ac:dyDescent="0.3">
      <c r="C58" s="88">
        <v>56</v>
      </c>
    </row>
    <row r="59" spans="3:3" x14ac:dyDescent="0.3">
      <c r="C59" s="88">
        <v>57</v>
      </c>
    </row>
    <row r="60" spans="3:3" x14ac:dyDescent="0.3">
      <c r="C60" s="88">
        <v>58</v>
      </c>
    </row>
    <row r="61" spans="3:3" x14ac:dyDescent="0.3">
      <c r="C61" s="88">
        <v>59</v>
      </c>
    </row>
    <row r="62" spans="3:3" x14ac:dyDescent="0.3">
      <c r="C62" s="88">
        <v>60</v>
      </c>
    </row>
    <row r="63" spans="3:3" x14ac:dyDescent="0.3">
      <c r="C63" s="88">
        <v>61</v>
      </c>
    </row>
    <row r="64" spans="3:3" x14ac:dyDescent="0.3">
      <c r="C64" s="88">
        <v>62</v>
      </c>
    </row>
    <row r="65" spans="3:3" x14ac:dyDescent="0.3">
      <c r="C65" s="88">
        <v>63</v>
      </c>
    </row>
    <row r="66" spans="3:3" x14ac:dyDescent="0.3">
      <c r="C66" s="88">
        <v>64</v>
      </c>
    </row>
    <row r="67" spans="3:3" x14ac:dyDescent="0.3">
      <c r="C67" s="88">
        <v>65</v>
      </c>
    </row>
    <row r="68" spans="3:3" x14ac:dyDescent="0.3">
      <c r="C68" s="88">
        <v>66</v>
      </c>
    </row>
    <row r="69" spans="3:3" x14ac:dyDescent="0.3">
      <c r="C69" s="88">
        <v>67</v>
      </c>
    </row>
    <row r="70" spans="3:3" x14ac:dyDescent="0.3">
      <c r="C70" s="88">
        <v>68</v>
      </c>
    </row>
    <row r="71" spans="3:3" x14ac:dyDescent="0.3">
      <c r="C71" s="88">
        <v>69</v>
      </c>
    </row>
    <row r="72" spans="3:3" x14ac:dyDescent="0.3">
      <c r="C72" s="88">
        <v>70</v>
      </c>
    </row>
    <row r="73" spans="3:3" x14ac:dyDescent="0.3">
      <c r="C73" s="88">
        <v>71</v>
      </c>
    </row>
    <row r="74" spans="3:3" x14ac:dyDescent="0.3">
      <c r="C74" s="88">
        <v>72</v>
      </c>
    </row>
    <row r="75" spans="3:3" x14ac:dyDescent="0.3">
      <c r="C75" s="88">
        <v>73</v>
      </c>
    </row>
    <row r="76" spans="3:3" x14ac:dyDescent="0.3">
      <c r="C76" s="88">
        <v>74</v>
      </c>
    </row>
    <row r="77" spans="3:3" x14ac:dyDescent="0.3">
      <c r="C77" s="88">
        <v>75</v>
      </c>
    </row>
    <row r="78" spans="3:3" x14ac:dyDescent="0.3">
      <c r="C78" s="88">
        <v>76</v>
      </c>
    </row>
    <row r="79" spans="3:3" x14ac:dyDescent="0.3">
      <c r="C79" s="88">
        <v>77</v>
      </c>
    </row>
    <row r="80" spans="3:3" x14ac:dyDescent="0.3">
      <c r="C80" s="88">
        <v>78</v>
      </c>
    </row>
    <row r="81" spans="3:3" x14ac:dyDescent="0.3">
      <c r="C81" s="88">
        <v>79</v>
      </c>
    </row>
    <row r="82" spans="3:3" x14ac:dyDescent="0.3">
      <c r="C82" s="88">
        <v>80</v>
      </c>
    </row>
    <row r="83" spans="3:3" x14ac:dyDescent="0.3">
      <c r="C83" s="88">
        <v>81</v>
      </c>
    </row>
    <row r="84" spans="3:3" x14ac:dyDescent="0.3">
      <c r="C84" s="88">
        <v>82</v>
      </c>
    </row>
    <row r="85" spans="3:3" x14ac:dyDescent="0.3">
      <c r="C85" s="88">
        <v>83</v>
      </c>
    </row>
    <row r="86" spans="3:3" x14ac:dyDescent="0.3">
      <c r="C86" s="88">
        <v>84</v>
      </c>
    </row>
    <row r="87" spans="3:3" x14ac:dyDescent="0.3">
      <c r="C87" s="88">
        <v>85</v>
      </c>
    </row>
    <row r="88" spans="3:3" x14ac:dyDescent="0.3">
      <c r="C88" s="88">
        <v>86</v>
      </c>
    </row>
    <row r="89" spans="3:3" x14ac:dyDescent="0.3">
      <c r="C89" s="88">
        <v>87</v>
      </c>
    </row>
    <row r="90" spans="3:3" x14ac:dyDescent="0.3">
      <c r="C90" s="88">
        <v>88</v>
      </c>
    </row>
    <row r="91" spans="3:3" x14ac:dyDescent="0.3">
      <c r="C91" s="88">
        <v>89</v>
      </c>
    </row>
    <row r="92" spans="3:3" x14ac:dyDescent="0.3">
      <c r="C92" s="88">
        <v>90</v>
      </c>
    </row>
    <row r="93" spans="3:3" x14ac:dyDescent="0.3">
      <c r="C93" s="88">
        <v>91</v>
      </c>
    </row>
    <row r="94" spans="3:3" x14ac:dyDescent="0.3">
      <c r="C94" s="88">
        <v>92</v>
      </c>
    </row>
    <row r="95" spans="3:3" x14ac:dyDescent="0.3">
      <c r="C95" s="88">
        <v>93</v>
      </c>
    </row>
    <row r="96" spans="3:3" x14ac:dyDescent="0.3">
      <c r="C96" s="88">
        <v>94</v>
      </c>
    </row>
    <row r="97" spans="3:3" x14ac:dyDescent="0.3">
      <c r="C97" s="88">
        <v>95</v>
      </c>
    </row>
    <row r="98" spans="3:3" x14ac:dyDescent="0.3">
      <c r="C98" s="88">
        <v>96</v>
      </c>
    </row>
    <row r="99" spans="3:3" x14ac:dyDescent="0.3">
      <c r="C99" s="88">
        <v>97</v>
      </c>
    </row>
    <row r="100" spans="3:3" x14ac:dyDescent="0.3">
      <c r="C100" s="88">
        <v>98</v>
      </c>
    </row>
    <row r="101" spans="3:3" x14ac:dyDescent="0.3">
      <c r="C101" s="88">
        <v>99</v>
      </c>
    </row>
    <row r="102" spans="3:3" x14ac:dyDescent="0.3">
      <c r="C102" s="88">
        <v>100</v>
      </c>
    </row>
    <row r="103" spans="3:3" x14ac:dyDescent="0.3">
      <c r="C103" s="88">
        <v>101</v>
      </c>
    </row>
    <row r="104" spans="3:3" x14ac:dyDescent="0.3">
      <c r="C104" s="88">
        <v>102</v>
      </c>
    </row>
    <row r="105" spans="3:3" x14ac:dyDescent="0.3">
      <c r="C105" s="88">
        <v>103</v>
      </c>
    </row>
    <row r="106" spans="3:3" x14ac:dyDescent="0.3">
      <c r="C106" s="88">
        <v>104</v>
      </c>
    </row>
    <row r="107" spans="3:3" x14ac:dyDescent="0.3">
      <c r="C107" s="88">
        <v>105</v>
      </c>
    </row>
    <row r="108" spans="3:3" x14ac:dyDescent="0.3">
      <c r="C108" s="88">
        <v>106</v>
      </c>
    </row>
    <row r="109" spans="3:3" x14ac:dyDescent="0.3">
      <c r="C109" s="88">
        <v>107</v>
      </c>
    </row>
    <row r="110" spans="3:3" x14ac:dyDescent="0.3">
      <c r="C110" s="88">
        <v>108</v>
      </c>
    </row>
    <row r="111" spans="3:3" x14ac:dyDescent="0.3">
      <c r="C111" s="88">
        <v>109</v>
      </c>
    </row>
    <row r="112" spans="3:3" x14ac:dyDescent="0.3">
      <c r="C112" s="88">
        <v>110</v>
      </c>
    </row>
    <row r="113" spans="3:3" x14ac:dyDescent="0.3">
      <c r="C113" s="88">
        <v>111</v>
      </c>
    </row>
    <row r="114" spans="3:3" x14ac:dyDescent="0.3">
      <c r="C114" s="88">
        <v>112</v>
      </c>
    </row>
    <row r="115" spans="3:3" x14ac:dyDescent="0.3">
      <c r="C115" s="88">
        <v>113</v>
      </c>
    </row>
    <row r="116" spans="3:3" x14ac:dyDescent="0.3">
      <c r="C116" s="88">
        <v>114</v>
      </c>
    </row>
    <row r="117" spans="3:3" x14ac:dyDescent="0.3">
      <c r="C117" s="88">
        <v>115</v>
      </c>
    </row>
    <row r="118" spans="3:3" x14ac:dyDescent="0.3">
      <c r="C118" s="88">
        <v>116</v>
      </c>
    </row>
    <row r="119" spans="3:3" x14ac:dyDescent="0.3">
      <c r="C119" s="88">
        <v>117</v>
      </c>
    </row>
    <row r="120" spans="3:3" x14ac:dyDescent="0.3">
      <c r="C120" s="88">
        <v>118</v>
      </c>
    </row>
    <row r="121" spans="3:3" x14ac:dyDescent="0.3">
      <c r="C121" s="88">
        <v>119</v>
      </c>
    </row>
    <row r="122" spans="3:3" x14ac:dyDescent="0.3">
      <c r="C122" s="88">
        <v>120</v>
      </c>
    </row>
    <row r="123" spans="3:3" x14ac:dyDescent="0.3">
      <c r="C123" s="88">
        <v>121</v>
      </c>
    </row>
    <row r="124" spans="3:3" x14ac:dyDescent="0.3">
      <c r="C124" s="88">
        <v>122</v>
      </c>
    </row>
    <row r="125" spans="3:3" x14ac:dyDescent="0.3">
      <c r="C125" s="88">
        <v>123</v>
      </c>
    </row>
    <row r="126" spans="3:3" x14ac:dyDescent="0.3">
      <c r="C126" s="88">
        <v>124</v>
      </c>
    </row>
    <row r="127" spans="3:3" x14ac:dyDescent="0.3">
      <c r="C127" s="88">
        <v>125</v>
      </c>
    </row>
    <row r="128" spans="3:3" x14ac:dyDescent="0.3">
      <c r="C128" s="88">
        <v>126</v>
      </c>
    </row>
    <row r="129" spans="3:3" x14ac:dyDescent="0.3">
      <c r="C129" s="88">
        <v>127</v>
      </c>
    </row>
    <row r="130" spans="3:3" x14ac:dyDescent="0.3">
      <c r="C130" s="88">
        <v>128</v>
      </c>
    </row>
    <row r="131" spans="3:3" x14ac:dyDescent="0.3">
      <c r="C131" s="88">
        <v>129</v>
      </c>
    </row>
    <row r="132" spans="3:3" x14ac:dyDescent="0.3">
      <c r="C132" s="88">
        <v>130</v>
      </c>
    </row>
    <row r="133" spans="3:3" x14ac:dyDescent="0.3">
      <c r="C133" s="88">
        <v>131</v>
      </c>
    </row>
    <row r="134" spans="3:3" x14ac:dyDescent="0.3">
      <c r="C134" s="88">
        <v>132</v>
      </c>
    </row>
    <row r="135" spans="3:3" x14ac:dyDescent="0.3">
      <c r="C135" s="88">
        <v>133</v>
      </c>
    </row>
    <row r="136" spans="3:3" x14ac:dyDescent="0.3">
      <c r="C136" s="88">
        <v>134</v>
      </c>
    </row>
    <row r="137" spans="3:3" x14ac:dyDescent="0.3">
      <c r="C137" s="88">
        <v>135</v>
      </c>
    </row>
    <row r="138" spans="3:3" x14ac:dyDescent="0.3">
      <c r="C138" s="88">
        <v>136</v>
      </c>
    </row>
    <row r="139" spans="3:3" x14ac:dyDescent="0.3">
      <c r="C139" s="88">
        <v>137</v>
      </c>
    </row>
    <row r="140" spans="3:3" x14ac:dyDescent="0.3">
      <c r="C140" s="88">
        <v>138</v>
      </c>
    </row>
    <row r="141" spans="3:3" x14ac:dyDescent="0.3">
      <c r="C141" s="88">
        <v>139</v>
      </c>
    </row>
    <row r="142" spans="3:3" x14ac:dyDescent="0.3">
      <c r="C142" s="88">
        <v>140</v>
      </c>
    </row>
    <row r="143" spans="3:3" x14ac:dyDescent="0.3">
      <c r="C143" s="88">
        <v>141</v>
      </c>
    </row>
    <row r="144" spans="3:3" x14ac:dyDescent="0.3">
      <c r="C144" s="88">
        <v>142</v>
      </c>
    </row>
    <row r="145" spans="3:3" x14ac:dyDescent="0.3">
      <c r="C145" s="88">
        <v>143</v>
      </c>
    </row>
    <row r="146" spans="3:3" x14ac:dyDescent="0.3">
      <c r="C146" s="88">
        <v>144</v>
      </c>
    </row>
    <row r="147" spans="3:3" x14ac:dyDescent="0.3">
      <c r="C147" s="88">
        <v>145</v>
      </c>
    </row>
    <row r="148" spans="3:3" x14ac:dyDescent="0.3">
      <c r="C148" s="88">
        <v>146</v>
      </c>
    </row>
    <row r="149" spans="3:3" x14ac:dyDescent="0.3">
      <c r="C149" s="88">
        <v>147</v>
      </c>
    </row>
    <row r="150" spans="3:3" x14ac:dyDescent="0.3">
      <c r="C150" s="88">
        <v>148</v>
      </c>
    </row>
    <row r="151" spans="3:3" x14ac:dyDescent="0.3">
      <c r="C151" s="88">
        <v>149</v>
      </c>
    </row>
    <row r="152" spans="3:3" x14ac:dyDescent="0.3">
      <c r="C152" s="88">
        <v>150</v>
      </c>
    </row>
    <row r="153" spans="3:3" x14ac:dyDescent="0.3">
      <c r="C153" s="88">
        <v>151</v>
      </c>
    </row>
    <row r="154" spans="3:3" x14ac:dyDescent="0.3">
      <c r="C154" s="88">
        <v>152</v>
      </c>
    </row>
    <row r="155" spans="3:3" x14ac:dyDescent="0.3">
      <c r="C155" s="88">
        <v>153</v>
      </c>
    </row>
    <row r="156" spans="3:3" x14ac:dyDescent="0.3">
      <c r="C156" s="88">
        <v>154</v>
      </c>
    </row>
    <row r="157" spans="3:3" x14ac:dyDescent="0.3">
      <c r="C157" s="88">
        <v>155</v>
      </c>
    </row>
    <row r="158" spans="3:3" x14ac:dyDescent="0.3">
      <c r="C158" s="88">
        <v>156</v>
      </c>
    </row>
    <row r="159" spans="3:3" x14ac:dyDescent="0.3">
      <c r="C159" s="88">
        <v>157</v>
      </c>
    </row>
    <row r="160" spans="3:3" x14ac:dyDescent="0.3">
      <c r="C160" s="88">
        <v>158</v>
      </c>
    </row>
    <row r="161" spans="3:3" x14ac:dyDescent="0.3">
      <c r="C161" s="88">
        <v>159</v>
      </c>
    </row>
    <row r="162" spans="3:3" x14ac:dyDescent="0.3">
      <c r="C162" s="88">
        <v>160</v>
      </c>
    </row>
    <row r="163" spans="3:3" x14ac:dyDescent="0.3">
      <c r="C163" s="88">
        <v>161</v>
      </c>
    </row>
    <row r="164" spans="3:3" x14ac:dyDescent="0.3">
      <c r="C164" s="88">
        <v>162</v>
      </c>
    </row>
    <row r="165" spans="3:3" x14ac:dyDescent="0.3">
      <c r="C165" s="88">
        <v>163</v>
      </c>
    </row>
    <row r="166" spans="3:3" x14ac:dyDescent="0.3">
      <c r="C166" s="88">
        <v>164</v>
      </c>
    </row>
    <row r="167" spans="3:3" x14ac:dyDescent="0.3">
      <c r="C167" s="88">
        <v>165</v>
      </c>
    </row>
    <row r="168" spans="3:3" x14ac:dyDescent="0.3">
      <c r="C168" s="88">
        <v>166</v>
      </c>
    </row>
    <row r="169" spans="3:3" x14ac:dyDescent="0.3">
      <c r="C169" s="88">
        <v>167</v>
      </c>
    </row>
    <row r="170" spans="3:3" x14ac:dyDescent="0.3">
      <c r="C170" s="88">
        <v>168</v>
      </c>
    </row>
    <row r="171" spans="3:3" x14ac:dyDescent="0.3">
      <c r="C171" s="88">
        <v>169</v>
      </c>
    </row>
    <row r="172" spans="3:3" x14ac:dyDescent="0.3">
      <c r="C172" s="88">
        <v>170</v>
      </c>
    </row>
    <row r="173" spans="3:3" x14ac:dyDescent="0.3">
      <c r="C173" s="88">
        <v>171</v>
      </c>
    </row>
    <row r="174" spans="3:3" x14ac:dyDescent="0.3">
      <c r="C174" s="88">
        <v>172</v>
      </c>
    </row>
    <row r="175" spans="3:3" x14ac:dyDescent="0.3">
      <c r="C175" s="88">
        <v>173</v>
      </c>
    </row>
    <row r="176" spans="3:3" x14ac:dyDescent="0.3">
      <c r="C176" s="88">
        <v>174</v>
      </c>
    </row>
    <row r="177" spans="3:3" x14ac:dyDescent="0.3">
      <c r="C177" s="88">
        <v>175</v>
      </c>
    </row>
    <row r="178" spans="3:3" x14ac:dyDescent="0.3">
      <c r="C178" s="88">
        <v>176</v>
      </c>
    </row>
    <row r="179" spans="3:3" x14ac:dyDescent="0.3">
      <c r="C179" s="88">
        <v>177</v>
      </c>
    </row>
    <row r="180" spans="3:3" x14ac:dyDescent="0.3">
      <c r="C180" s="88">
        <v>178</v>
      </c>
    </row>
    <row r="181" spans="3:3" x14ac:dyDescent="0.3">
      <c r="C181" s="88">
        <v>179</v>
      </c>
    </row>
    <row r="182" spans="3:3" x14ac:dyDescent="0.3">
      <c r="C182" s="88">
        <v>180</v>
      </c>
    </row>
    <row r="183" spans="3:3" x14ac:dyDescent="0.3">
      <c r="C183" s="88">
        <v>181</v>
      </c>
    </row>
    <row r="184" spans="3:3" x14ac:dyDescent="0.3">
      <c r="C184" s="88">
        <v>182</v>
      </c>
    </row>
    <row r="185" spans="3:3" x14ac:dyDescent="0.3">
      <c r="C185" s="88">
        <v>183</v>
      </c>
    </row>
    <row r="186" spans="3:3" x14ac:dyDescent="0.3">
      <c r="C186" s="88">
        <v>184</v>
      </c>
    </row>
    <row r="187" spans="3:3" x14ac:dyDescent="0.3">
      <c r="C187" s="88">
        <v>185</v>
      </c>
    </row>
    <row r="188" spans="3:3" x14ac:dyDescent="0.3">
      <c r="C188" s="88">
        <v>186</v>
      </c>
    </row>
    <row r="189" spans="3:3" x14ac:dyDescent="0.3">
      <c r="C189" s="88">
        <v>187</v>
      </c>
    </row>
    <row r="190" spans="3:3" x14ac:dyDescent="0.3">
      <c r="C190" s="88">
        <v>188</v>
      </c>
    </row>
    <row r="191" spans="3:3" x14ac:dyDescent="0.3">
      <c r="C191" s="88">
        <v>189</v>
      </c>
    </row>
    <row r="192" spans="3:3" x14ac:dyDescent="0.3">
      <c r="C192" s="88">
        <v>190</v>
      </c>
    </row>
    <row r="193" spans="3:3" x14ac:dyDescent="0.3">
      <c r="C193" s="88">
        <v>191</v>
      </c>
    </row>
    <row r="194" spans="3:3" x14ac:dyDescent="0.3">
      <c r="C194" s="88">
        <v>192</v>
      </c>
    </row>
    <row r="195" spans="3:3" x14ac:dyDescent="0.3">
      <c r="C195" s="88">
        <v>193</v>
      </c>
    </row>
    <row r="196" spans="3:3" x14ac:dyDescent="0.3">
      <c r="C196" s="88">
        <v>194</v>
      </c>
    </row>
    <row r="197" spans="3:3" x14ac:dyDescent="0.3">
      <c r="C197" s="88">
        <v>195</v>
      </c>
    </row>
    <row r="198" spans="3:3" x14ac:dyDescent="0.3">
      <c r="C198" s="88">
        <v>196</v>
      </c>
    </row>
    <row r="199" spans="3:3" x14ac:dyDescent="0.3">
      <c r="C199" s="88">
        <v>197</v>
      </c>
    </row>
    <row r="200" spans="3:3" x14ac:dyDescent="0.3">
      <c r="C200" s="88">
        <v>198</v>
      </c>
    </row>
    <row r="201" spans="3:3" x14ac:dyDescent="0.3">
      <c r="C201" s="88">
        <v>199</v>
      </c>
    </row>
    <row r="202" spans="3:3" x14ac:dyDescent="0.3">
      <c r="C202" s="88">
        <v>200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A2:AC261"/>
  <sheetViews>
    <sheetView showGridLines="0" topLeftCell="A151" zoomScaleNormal="100" zoomScalePageLayoutView="70" workbookViewId="0">
      <selection activeCell="C174" sqref="C174"/>
    </sheetView>
  </sheetViews>
  <sheetFormatPr baseColWidth="10" defaultColWidth="11.453125" defaultRowHeight="13" x14ac:dyDescent="0.3"/>
  <cols>
    <col min="1" max="1" width="2.6328125" style="83" customWidth="1"/>
    <col min="2" max="2" width="16.6328125" style="16" customWidth="1"/>
    <col min="3" max="3" width="6.1796875" style="16" customWidth="1"/>
    <col min="4" max="4" width="32.453125" style="16" customWidth="1"/>
    <col min="5" max="7" width="9.6328125" style="16" customWidth="1"/>
    <col min="8" max="8" width="9.6328125" style="26" customWidth="1"/>
    <col min="9" max="10" width="9.6328125" style="16" customWidth="1"/>
    <col min="11" max="11" width="11" style="16" customWidth="1"/>
    <col min="12" max="12" width="6.6328125" style="16" customWidth="1"/>
    <col min="13" max="13" width="6" style="16" customWidth="1"/>
    <col min="14" max="14" width="5.6328125" style="16" customWidth="1"/>
    <col min="15" max="15" width="6" style="16" customWidth="1"/>
    <col min="16" max="16" width="6.1796875" style="16" customWidth="1"/>
    <col min="17" max="22" width="6.453125" style="16" customWidth="1"/>
    <col min="23" max="23" width="14" style="16" customWidth="1"/>
    <col min="24" max="16384" width="11.453125" style="16"/>
  </cols>
  <sheetData>
    <row r="2" spans="2:27" x14ac:dyDescent="0.3">
      <c r="D2" s="18" t="s">
        <v>32</v>
      </c>
      <c r="E2" s="19" t="s">
        <v>33</v>
      </c>
      <c r="F2" s="20">
        <f>'Notice de calcul'!AC11</f>
        <v>0</v>
      </c>
      <c r="G2" s="21"/>
      <c r="H2" s="22" t="s">
        <v>34</v>
      </c>
      <c r="I2" s="21">
        <f>'Notice de calcul'!T19</f>
        <v>0</v>
      </c>
      <c r="J2" s="23"/>
      <c r="K2" s="24"/>
      <c r="L2" s="24"/>
      <c r="M2" s="24"/>
      <c r="N2" s="24"/>
      <c r="O2" s="24"/>
      <c r="P2" s="25"/>
      <c r="Q2" s="25"/>
      <c r="R2" s="24"/>
    </row>
    <row r="3" spans="2:27" x14ac:dyDescent="0.3">
      <c r="E3" s="19" t="s">
        <v>35</v>
      </c>
      <c r="F3" s="20">
        <f>'Notice de calcul'!AC13</f>
        <v>0</v>
      </c>
      <c r="G3" s="21"/>
      <c r="I3" s="27"/>
      <c r="J3" s="23"/>
      <c r="K3" s="28"/>
      <c r="L3" s="28"/>
      <c r="M3" s="28"/>
      <c r="N3" s="28"/>
      <c r="O3" s="28"/>
    </row>
    <row r="4" spans="2:27" x14ac:dyDescent="0.3">
      <c r="E4" s="19" t="s">
        <v>36</v>
      </c>
      <c r="F4" s="20">
        <f>'Notice de calcul'!AC15</f>
        <v>0</v>
      </c>
      <c r="K4" s="28"/>
      <c r="L4" s="28"/>
      <c r="M4" s="28"/>
      <c r="N4" s="28"/>
      <c r="O4" s="28"/>
    </row>
    <row r="5" spans="2:27" x14ac:dyDescent="0.3">
      <c r="F5" s="19" t="s">
        <v>37</v>
      </c>
      <c r="G5" s="29">
        <f>F2*F3*F4</f>
        <v>0</v>
      </c>
    </row>
    <row r="6" spans="2:27" x14ac:dyDescent="0.3">
      <c r="F6" s="19"/>
      <c r="G6" s="29"/>
    </row>
    <row r="7" spans="2:27" x14ac:dyDescent="0.3">
      <c r="E7" s="19" t="s">
        <v>38</v>
      </c>
      <c r="F7" s="30">
        <f>F2*F3</f>
        <v>0</v>
      </c>
      <c r="Z7" s="16" t="s">
        <v>83</v>
      </c>
      <c r="AA7" s="83" t="s">
        <v>257</v>
      </c>
    </row>
    <row r="8" spans="2:27" x14ac:dyDescent="0.3">
      <c r="E8" s="19" t="s">
        <v>39</v>
      </c>
      <c r="F8" s="30">
        <f>2*(F2*F4+F3*F4)</f>
        <v>0</v>
      </c>
      <c r="AA8" s="83" t="s">
        <v>258</v>
      </c>
    </row>
    <row r="9" spans="2:27" x14ac:dyDescent="0.3">
      <c r="E9" s="19"/>
      <c r="F9" s="30"/>
      <c r="AA9" s="83" t="s">
        <v>259</v>
      </c>
    </row>
    <row r="10" spans="2:27" ht="15.5" x14ac:dyDescent="0.3">
      <c r="D10" s="31" t="s">
        <v>40</v>
      </c>
      <c r="E10" s="171">
        <v>1.4999999999999999E-2</v>
      </c>
      <c r="F10" s="171">
        <v>4.4999999999999998E-2</v>
      </c>
      <c r="G10" s="171">
        <v>4.4999999999999998E-2</v>
      </c>
      <c r="H10" s="171">
        <v>0.06</v>
      </c>
      <c r="I10" s="171">
        <v>7.4999999999999997E-2</v>
      </c>
      <c r="J10" s="171">
        <v>7.4999999999999997E-2</v>
      </c>
      <c r="L10" s="32"/>
      <c r="AA10" s="83" t="s">
        <v>260</v>
      </c>
    </row>
    <row r="11" spans="2:27" ht="15.5" x14ac:dyDescent="0.35">
      <c r="D11" s="33" t="s">
        <v>41</v>
      </c>
      <c r="E11" s="34">
        <v>125</v>
      </c>
      <c r="F11" s="34">
        <v>250</v>
      </c>
      <c r="G11" s="34">
        <v>500</v>
      </c>
      <c r="H11" s="34">
        <v>1000</v>
      </c>
      <c r="I11" s="34">
        <v>2000</v>
      </c>
      <c r="J11" s="35">
        <v>4000</v>
      </c>
      <c r="K11" s="36" t="s">
        <v>17</v>
      </c>
      <c r="L11" s="37"/>
      <c r="P11" s="32"/>
      <c r="Q11" s="32"/>
      <c r="R11" s="38"/>
      <c r="S11" s="32"/>
      <c r="AA11" s="83" t="s">
        <v>261</v>
      </c>
    </row>
    <row r="12" spans="2:27" ht="15.5" x14ac:dyDescent="0.3">
      <c r="C12" s="22" t="s">
        <v>42</v>
      </c>
      <c r="D12" s="39" t="s">
        <v>43</v>
      </c>
      <c r="E12" s="40">
        <v>0.1</v>
      </c>
      <c r="F12" s="40">
        <v>0.35</v>
      </c>
      <c r="G12" s="40">
        <v>0.75</v>
      </c>
      <c r="H12" s="40">
        <v>0.9</v>
      </c>
      <c r="I12" s="40">
        <v>0.95</v>
      </c>
      <c r="J12" s="41">
        <v>0.98</v>
      </c>
      <c r="K12" s="42"/>
      <c r="L12" s="32"/>
      <c r="P12" s="43"/>
      <c r="Q12" s="43"/>
      <c r="R12" s="32"/>
      <c r="S12" s="32"/>
    </row>
    <row r="13" spans="2:27" ht="15.5" x14ac:dyDescent="0.3">
      <c r="D13" s="39" t="s">
        <v>45</v>
      </c>
      <c r="E13" s="40">
        <v>0.46666666666666673</v>
      </c>
      <c r="F13" s="40">
        <v>0.93</v>
      </c>
      <c r="G13" s="40">
        <v>0.88</v>
      </c>
      <c r="H13" s="40">
        <v>0.99333333333333329</v>
      </c>
      <c r="I13" s="40">
        <v>0.9966666666666667</v>
      </c>
      <c r="J13" s="41">
        <v>1.05</v>
      </c>
      <c r="K13" s="42"/>
      <c r="L13" s="32"/>
      <c r="P13" s="43"/>
      <c r="Q13" s="43"/>
      <c r="R13" s="32"/>
      <c r="S13" s="32"/>
    </row>
    <row r="14" spans="2:27" s="83" customFormat="1" ht="15.5" x14ac:dyDescent="0.3">
      <c r="B14" s="178"/>
      <c r="C14" s="172" t="s">
        <v>44</v>
      </c>
      <c r="D14" s="173" t="s">
        <v>115</v>
      </c>
      <c r="E14" s="171">
        <v>8.5000000000000006E-2</v>
      </c>
      <c r="F14" s="171">
        <v>0.255</v>
      </c>
      <c r="G14" s="171">
        <v>0.255</v>
      </c>
      <c r="H14" s="171">
        <v>0.34</v>
      </c>
      <c r="I14" s="171">
        <v>0.42499999999999999</v>
      </c>
      <c r="J14" s="171">
        <v>0.42499999999999999</v>
      </c>
      <c r="K14" s="174">
        <f>0.6*0.6</f>
        <v>0.36</v>
      </c>
      <c r="L14" s="44"/>
      <c r="M14" s="104">
        <v>0.1</v>
      </c>
      <c r="N14" s="104">
        <v>0.3</v>
      </c>
      <c r="O14" s="104">
        <v>0.3</v>
      </c>
      <c r="P14" s="104">
        <v>0.4</v>
      </c>
      <c r="Q14" s="104">
        <v>0.5</v>
      </c>
      <c r="R14" s="104">
        <v>0.5</v>
      </c>
      <c r="T14" s="64">
        <v>-0.15</v>
      </c>
      <c r="U14" s="105">
        <f>M14*0.85</f>
        <v>8.5000000000000006E-2</v>
      </c>
      <c r="V14" s="105">
        <f t="shared" ref="V14:V15" si="0">N14*0.85</f>
        <v>0.255</v>
      </c>
      <c r="W14" s="105">
        <f t="shared" ref="W14:W15" si="1">O14*0.85</f>
        <v>0.255</v>
      </c>
      <c r="X14" s="105">
        <f t="shared" ref="X14:X15" si="2">P14*0.85</f>
        <v>0.34</v>
      </c>
      <c r="Y14" s="105">
        <f t="shared" ref="Y14:Y15" si="3">Q14*0.85</f>
        <v>0.42499999999999999</v>
      </c>
      <c r="Z14" s="105">
        <f t="shared" ref="Z14:Z15" si="4">R14*0.85</f>
        <v>0.42499999999999999</v>
      </c>
    </row>
    <row r="15" spans="2:27" ht="15.5" x14ac:dyDescent="0.3">
      <c r="B15" s="178"/>
      <c r="C15" s="172" t="s">
        <v>44</v>
      </c>
      <c r="D15" s="173" t="s">
        <v>116</v>
      </c>
      <c r="E15" s="171">
        <v>8.5000000000000006E-2</v>
      </c>
      <c r="F15" s="171">
        <v>0.34</v>
      </c>
      <c r="G15" s="171">
        <v>0.34</v>
      </c>
      <c r="H15" s="171">
        <v>0.51</v>
      </c>
      <c r="I15" s="171">
        <v>0.59499999999999997</v>
      </c>
      <c r="J15" s="171">
        <v>0.59499999999999997</v>
      </c>
      <c r="K15" s="174">
        <f>0.6*0.6</f>
        <v>0.36</v>
      </c>
      <c r="L15" s="44"/>
      <c r="M15" s="104">
        <v>0.1</v>
      </c>
      <c r="N15" s="104">
        <v>0.4</v>
      </c>
      <c r="O15" s="104">
        <v>0.4</v>
      </c>
      <c r="P15" s="104">
        <v>0.6</v>
      </c>
      <c r="Q15" s="104">
        <v>0.7</v>
      </c>
      <c r="R15" s="104">
        <v>0.7</v>
      </c>
      <c r="S15" s="83"/>
      <c r="T15" s="64">
        <v>-0.15</v>
      </c>
      <c r="U15" s="105">
        <f>M15*0.85</f>
        <v>8.5000000000000006E-2</v>
      </c>
      <c r="V15" s="105">
        <f t="shared" si="0"/>
        <v>0.34</v>
      </c>
      <c r="W15" s="105">
        <f t="shared" si="1"/>
        <v>0.34</v>
      </c>
      <c r="X15" s="105">
        <f t="shared" si="2"/>
        <v>0.51</v>
      </c>
      <c r="Y15" s="105">
        <f t="shared" si="3"/>
        <v>0.59499999999999997</v>
      </c>
      <c r="Z15" s="105">
        <f t="shared" si="4"/>
        <v>0.59499999999999997</v>
      </c>
    </row>
    <row r="16" spans="2:27" ht="15.5" x14ac:dyDescent="0.3">
      <c r="C16" s="172" t="s">
        <v>44</v>
      </c>
      <c r="D16" s="173" t="s">
        <v>46</v>
      </c>
      <c r="E16" s="171">
        <v>0.4</v>
      </c>
      <c r="F16" s="171">
        <v>1.4</v>
      </c>
      <c r="G16" s="171">
        <v>1.9</v>
      </c>
      <c r="H16" s="171">
        <v>2.2000000000000002</v>
      </c>
      <c r="I16" s="171">
        <v>2.2000000000000002</v>
      </c>
      <c r="J16" s="177">
        <v>2.2000000000000002</v>
      </c>
      <c r="K16" s="174">
        <f>1.195*1.195</f>
        <v>1.4280250000000001</v>
      </c>
      <c r="L16" s="45"/>
      <c r="M16" s="24"/>
      <c r="P16" s="32"/>
      <c r="Q16" s="32"/>
      <c r="R16" s="32"/>
      <c r="S16" s="37"/>
    </row>
    <row r="17" spans="2:27" ht="15.5" x14ac:dyDescent="0.3">
      <c r="C17" s="172" t="s">
        <v>44</v>
      </c>
      <c r="D17" s="173" t="s">
        <v>47</v>
      </c>
      <c r="E17" s="171">
        <v>0.3</v>
      </c>
      <c r="F17" s="171">
        <v>1.3</v>
      </c>
      <c r="G17" s="171">
        <v>1.8</v>
      </c>
      <c r="H17" s="171">
        <v>1.7</v>
      </c>
      <c r="I17" s="171">
        <v>1.6</v>
      </c>
      <c r="J17" s="177">
        <v>1.6</v>
      </c>
      <c r="K17" s="174">
        <f>1.195*1.195</f>
        <v>1.4280250000000001</v>
      </c>
      <c r="L17" s="45"/>
      <c r="M17" s="24"/>
      <c r="P17" s="32"/>
      <c r="Q17" s="37"/>
      <c r="R17" s="37"/>
      <c r="S17" s="37"/>
    </row>
    <row r="18" spans="2:27" s="83" customFormat="1" ht="15.5" x14ac:dyDescent="0.3">
      <c r="C18" s="172" t="s">
        <v>44</v>
      </c>
      <c r="D18" s="173" t="s">
        <v>134</v>
      </c>
      <c r="E18" s="171">
        <v>0.3</v>
      </c>
      <c r="F18" s="171">
        <v>0.6</v>
      </c>
      <c r="G18" s="171">
        <v>0.9</v>
      </c>
      <c r="H18" s="171">
        <v>1.2</v>
      </c>
      <c r="I18" s="171">
        <v>1.3</v>
      </c>
      <c r="J18" s="177">
        <v>1.3</v>
      </c>
      <c r="K18" s="174">
        <f>3.141592653*600*600/1000/1000</f>
        <v>1.1309733550800001</v>
      </c>
      <c r="L18" s="45"/>
      <c r="M18" s="24"/>
      <c r="P18" s="32"/>
      <c r="Q18" s="37"/>
      <c r="R18" s="37"/>
      <c r="S18" s="37"/>
    </row>
    <row r="19" spans="2:27" s="83" customFormat="1" ht="15.5" x14ac:dyDescent="0.3">
      <c r="C19" s="172" t="s">
        <v>44</v>
      </c>
      <c r="D19" s="173" t="s">
        <v>132</v>
      </c>
      <c r="E19" s="171">
        <v>0.5</v>
      </c>
      <c r="F19" s="171">
        <v>1.4</v>
      </c>
      <c r="G19" s="171">
        <v>1.5</v>
      </c>
      <c r="H19" s="171">
        <v>1.8</v>
      </c>
      <c r="I19" s="171">
        <v>2</v>
      </c>
      <c r="J19" s="177">
        <v>2.2000000000000002</v>
      </c>
      <c r="K19" s="174">
        <f>1.16*1.16</f>
        <v>1.3455999999999999</v>
      </c>
      <c r="L19" s="45"/>
      <c r="M19" s="24"/>
      <c r="P19" s="32"/>
      <c r="Q19" s="37"/>
      <c r="R19" s="37"/>
      <c r="S19" s="37"/>
    </row>
    <row r="20" spans="2:27" s="83" customFormat="1" ht="15.5" x14ac:dyDescent="0.3">
      <c r="C20" s="172" t="s">
        <v>44</v>
      </c>
      <c r="D20" s="173" t="s">
        <v>133</v>
      </c>
      <c r="E20" s="171">
        <v>0.2</v>
      </c>
      <c r="F20" s="171">
        <v>0.5</v>
      </c>
      <c r="G20" s="171">
        <v>1.2</v>
      </c>
      <c r="H20" s="171">
        <v>1.7</v>
      </c>
      <c r="I20" s="171">
        <v>1.6</v>
      </c>
      <c r="J20" s="177">
        <v>1.6</v>
      </c>
      <c r="K20" s="174">
        <f>1.16*1.16</f>
        <v>1.3455999999999999</v>
      </c>
      <c r="L20" s="45"/>
      <c r="M20" s="24"/>
      <c r="P20" s="32"/>
      <c r="Q20" s="37"/>
      <c r="R20" s="37"/>
      <c r="S20" s="37"/>
    </row>
    <row r="21" spans="2:27" s="83" customFormat="1" ht="15.5" x14ac:dyDescent="0.3">
      <c r="C21" s="172" t="s">
        <v>44</v>
      </c>
      <c r="D21" s="173" t="s">
        <v>92</v>
      </c>
      <c r="E21" s="171">
        <v>0.5</v>
      </c>
      <c r="F21" s="171">
        <v>1</v>
      </c>
      <c r="G21" s="171">
        <v>1.6</v>
      </c>
      <c r="H21" s="171">
        <v>1.8</v>
      </c>
      <c r="I21" s="171">
        <v>1.8</v>
      </c>
      <c r="J21" s="177">
        <v>1.6</v>
      </c>
      <c r="K21" s="174">
        <f>0.5*0.5*6</f>
        <v>1.5</v>
      </c>
      <c r="L21" s="45"/>
      <c r="M21" s="24"/>
      <c r="P21" s="32"/>
      <c r="Q21" s="37"/>
      <c r="R21" s="37"/>
      <c r="S21" s="37"/>
    </row>
    <row r="22" spans="2:27" s="83" customFormat="1" ht="15.5" x14ac:dyDescent="0.3">
      <c r="C22" s="172" t="s">
        <v>44</v>
      </c>
      <c r="D22" s="173" t="s">
        <v>93</v>
      </c>
      <c r="E22" s="171">
        <v>0.2</v>
      </c>
      <c r="F22" s="171">
        <v>0.4</v>
      </c>
      <c r="G22" s="171">
        <v>0.7</v>
      </c>
      <c r="H22" s="171">
        <v>0.8</v>
      </c>
      <c r="I22" s="171">
        <v>0.8</v>
      </c>
      <c r="J22" s="177">
        <v>0.7</v>
      </c>
      <c r="K22" s="174">
        <f>0.31*0.31*6</f>
        <v>0.5766</v>
      </c>
      <c r="L22" s="45"/>
      <c r="M22" s="24"/>
      <c r="P22" s="32"/>
      <c r="Q22" s="37"/>
      <c r="R22" s="37"/>
      <c r="S22" s="37"/>
    </row>
    <row r="23" spans="2:27" s="83" customFormat="1" ht="15.5" x14ac:dyDescent="0.3">
      <c r="C23" s="172" t="s">
        <v>44</v>
      </c>
      <c r="D23" s="173" t="s">
        <v>94</v>
      </c>
      <c r="E23" s="171">
        <v>0.7</v>
      </c>
      <c r="F23" s="171">
        <v>1.4</v>
      </c>
      <c r="G23" s="171">
        <v>1.8</v>
      </c>
      <c r="H23" s="171">
        <v>2</v>
      </c>
      <c r="I23" s="171">
        <v>1.9665999999999999</v>
      </c>
      <c r="J23" s="177">
        <v>1.8333299999999999</v>
      </c>
      <c r="K23" s="174">
        <f>1.1*0.39*4</f>
        <v>1.7160000000000002</v>
      </c>
      <c r="L23" s="45"/>
      <c r="M23" s="32"/>
      <c r="N23" s="32"/>
      <c r="O23" s="32"/>
      <c r="P23" s="32"/>
      <c r="Q23" s="37"/>
      <c r="R23" s="37"/>
      <c r="S23" s="37"/>
      <c r="T23" s="32"/>
      <c r="U23" s="32"/>
      <c r="V23" s="32"/>
      <c r="W23" s="32"/>
      <c r="X23" s="32"/>
      <c r="Y23" s="32"/>
      <c r="Z23" s="32"/>
      <c r="AA23" s="32"/>
    </row>
    <row r="24" spans="2:27" s="83" customFormat="1" ht="15.5" x14ac:dyDescent="0.3">
      <c r="C24" s="172" t="s">
        <v>44</v>
      </c>
      <c r="D24" s="173" t="s">
        <v>95</v>
      </c>
      <c r="E24" s="171">
        <v>1.2</v>
      </c>
      <c r="F24" s="171">
        <v>2.5</v>
      </c>
      <c r="G24" s="171">
        <v>3.3</v>
      </c>
      <c r="H24" s="171">
        <v>3.5</v>
      </c>
      <c r="I24" s="171">
        <v>3.4</v>
      </c>
      <c r="J24" s="177">
        <v>3.1</v>
      </c>
      <c r="K24" s="174">
        <f>2*0.39*4</f>
        <v>3.12</v>
      </c>
      <c r="L24" s="45"/>
      <c r="M24" s="32"/>
      <c r="N24" s="32"/>
      <c r="O24" s="32"/>
      <c r="P24" s="32"/>
      <c r="Q24" s="37"/>
      <c r="R24" s="37"/>
      <c r="S24" s="37"/>
      <c r="T24" s="32"/>
      <c r="U24" s="32"/>
      <c r="V24" s="32"/>
      <c r="W24" s="32"/>
      <c r="X24" s="32"/>
      <c r="Y24" s="32"/>
      <c r="Z24" s="32"/>
      <c r="AA24" s="32"/>
    </row>
    <row r="25" spans="2:27" s="83" customFormat="1" ht="15" customHeight="1" x14ac:dyDescent="0.3">
      <c r="B25" s="264" t="s">
        <v>357</v>
      </c>
      <c r="C25" s="265" t="s">
        <v>44</v>
      </c>
      <c r="D25" s="266" t="s">
        <v>358</v>
      </c>
      <c r="E25" s="267">
        <v>0.1</v>
      </c>
      <c r="F25" s="267">
        <v>0.6</v>
      </c>
      <c r="G25" s="267">
        <v>1.8</v>
      </c>
      <c r="H25" s="267">
        <v>2.6</v>
      </c>
      <c r="I25" s="267">
        <v>2.6</v>
      </c>
      <c r="J25" s="268">
        <v>2.6</v>
      </c>
      <c r="K25" s="269">
        <f>1.23*2.44*1.2</f>
        <v>3.6014399999999998</v>
      </c>
      <c r="L25" s="270" t="s">
        <v>359</v>
      </c>
      <c r="M25" s="271"/>
      <c r="N25" s="271"/>
      <c r="O25" s="271"/>
      <c r="P25" s="271"/>
      <c r="Q25" s="37"/>
      <c r="R25" s="37"/>
      <c r="S25" s="37"/>
      <c r="T25" s="32"/>
      <c r="U25" s="32"/>
      <c r="V25" s="32"/>
      <c r="W25" s="32"/>
      <c r="X25" s="32"/>
      <c r="Y25" s="32"/>
      <c r="Z25" s="32"/>
      <c r="AA25" s="32"/>
    </row>
    <row r="26" spans="2:27" s="83" customFormat="1" ht="15.5" x14ac:dyDescent="0.3">
      <c r="C26" s="172" t="s">
        <v>44</v>
      </c>
      <c r="D26" s="173" t="s">
        <v>96</v>
      </c>
      <c r="E26" s="171">
        <v>1.2</v>
      </c>
      <c r="F26" s="171">
        <v>2.2000000000000002</v>
      </c>
      <c r="G26" s="171">
        <v>3.3</v>
      </c>
      <c r="H26" s="171">
        <v>4</v>
      </c>
      <c r="I26" s="171">
        <v>3.8</v>
      </c>
      <c r="J26" s="177">
        <v>3.8</v>
      </c>
      <c r="K26" s="174">
        <f>1.195*1.795</f>
        <v>2.145025</v>
      </c>
      <c r="L26" s="45"/>
      <c r="M26" s="32"/>
      <c r="N26" s="176"/>
      <c r="O26" s="176"/>
      <c r="P26" s="176"/>
      <c r="Q26" s="176"/>
      <c r="R26" s="176"/>
      <c r="S26" s="176"/>
      <c r="T26" s="32"/>
      <c r="U26" s="179"/>
      <c r="V26" s="32"/>
      <c r="W26" s="32"/>
      <c r="X26" s="32"/>
      <c r="Y26" s="32"/>
      <c r="Z26" s="32"/>
      <c r="AA26" s="32"/>
    </row>
    <row r="27" spans="2:27" s="83" customFormat="1" ht="15.5" x14ac:dyDescent="0.3">
      <c r="C27" s="172" t="s">
        <v>44</v>
      </c>
      <c r="D27" s="173" t="s">
        <v>97</v>
      </c>
      <c r="E27" s="171">
        <f t="shared" ref="E27:J27" si="5">+E26/2</f>
        <v>0.6</v>
      </c>
      <c r="F27" s="171">
        <f t="shared" si="5"/>
        <v>1.1000000000000001</v>
      </c>
      <c r="G27" s="171">
        <f t="shared" si="5"/>
        <v>1.65</v>
      </c>
      <c r="H27" s="171">
        <f t="shared" si="5"/>
        <v>2</v>
      </c>
      <c r="I27" s="171">
        <f t="shared" si="5"/>
        <v>1.9</v>
      </c>
      <c r="J27" s="171">
        <f t="shared" si="5"/>
        <v>1.9</v>
      </c>
      <c r="K27" s="174">
        <f>0.6*1.795</f>
        <v>1.077</v>
      </c>
      <c r="L27" s="45"/>
      <c r="M27" s="32"/>
      <c r="N27" s="176"/>
      <c r="O27" s="176"/>
      <c r="P27" s="176"/>
      <c r="Q27" s="176"/>
      <c r="R27" s="176"/>
      <c r="S27" s="176"/>
      <c r="T27" s="32"/>
      <c r="U27" s="179"/>
      <c r="V27" s="32"/>
      <c r="W27" s="32"/>
      <c r="X27" s="32"/>
      <c r="Y27" s="32"/>
      <c r="Z27" s="32"/>
      <c r="AA27" s="32"/>
    </row>
    <row r="28" spans="2:27" s="83" customFormat="1" ht="15.5" x14ac:dyDescent="0.3">
      <c r="C28" s="172" t="s">
        <v>44</v>
      </c>
      <c r="D28" s="173" t="s">
        <v>117</v>
      </c>
      <c r="E28" s="171">
        <v>1</v>
      </c>
      <c r="F28" s="171">
        <v>2.2000000000000002</v>
      </c>
      <c r="G28" s="171">
        <v>3.2</v>
      </c>
      <c r="H28" s="171">
        <v>3.7</v>
      </c>
      <c r="I28" s="171">
        <v>3.7</v>
      </c>
      <c r="J28" s="171">
        <v>3.8</v>
      </c>
      <c r="K28" s="174">
        <f>1.133*1.59</f>
        <v>1.8014700000000001</v>
      </c>
      <c r="L28" s="45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2:27" s="83" customFormat="1" ht="15.5" x14ac:dyDescent="0.3">
      <c r="C29" s="172" t="s">
        <v>44</v>
      </c>
      <c r="D29" s="173" t="s">
        <v>118</v>
      </c>
      <c r="E29" s="171">
        <v>1</v>
      </c>
      <c r="F29" s="171">
        <v>1.5</v>
      </c>
      <c r="G29" s="171">
        <v>2.2000000000000002</v>
      </c>
      <c r="H29" s="171">
        <v>2.4</v>
      </c>
      <c r="I29" s="171">
        <v>2.2999999999999998</v>
      </c>
      <c r="J29" s="171">
        <v>2.4</v>
      </c>
      <c r="K29" s="174">
        <f>1.133*0.964</f>
        <v>1.092212</v>
      </c>
      <c r="L29" s="45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2:27" s="83" customFormat="1" ht="15.5" x14ac:dyDescent="0.3">
      <c r="C30" s="172" t="s">
        <v>44</v>
      </c>
      <c r="D30" s="173" t="s">
        <v>142</v>
      </c>
      <c r="E30" s="171">
        <v>0.57999999999999996</v>
      </c>
      <c r="F30" s="171">
        <v>1.25</v>
      </c>
      <c r="G30" s="171">
        <v>1.72</v>
      </c>
      <c r="H30" s="171">
        <v>1.97</v>
      </c>
      <c r="I30" s="171">
        <v>1.83</v>
      </c>
      <c r="J30" s="171">
        <v>2.2799999999999998</v>
      </c>
      <c r="K30" s="174">
        <f>1*1.3</f>
        <v>1.3</v>
      </c>
      <c r="L30" s="45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2:27" s="83" customFormat="1" ht="15.5" x14ac:dyDescent="0.3">
      <c r="C31" s="172" t="s">
        <v>44</v>
      </c>
      <c r="D31" s="173" t="s">
        <v>143</v>
      </c>
      <c r="E31" s="171">
        <v>0.82</v>
      </c>
      <c r="F31" s="171">
        <v>1.75</v>
      </c>
      <c r="G31" s="171">
        <v>2.41</v>
      </c>
      <c r="H31" s="171">
        <v>2.76</v>
      </c>
      <c r="I31" s="171">
        <v>2.57</v>
      </c>
      <c r="J31" s="171">
        <v>3.19</v>
      </c>
      <c r="K31" s="174">
        <f>1.3*1.4</f>
        <v>1.8199999999999998</v>
      </c>
      <c r="L31" s="45"/>
      <c r="M31" s="24"/>
    </row>
    <row r="32" spans="2:27" s="83" customFormat="1" ht="15.5" x14ac:dyDescent="0.3">
      <c r="C32" s="172" t="s">
        <v>44</v>
      </c>
      <c r="D32" s="173" t="s">
        <v>144</v>
      </c>
      <c r="E32" s="171">
        <v>0.93</v>
      </c>
      <c r="F32" s="171">
        <v>2</v>
      </c>
      <c r="G32" s="171">
        <v>2.76</v>
      </c>
      <c r="H32" s="171">
        <v>3.16</v>
      </c>
      <c r="I32" s="171">
        <v>2.93</v>
      </c>
      <c r="J32" s="171">
        <v>3.64</v>
      </c>
      <c r="K32" s="174">
        <f>1.3*1.6</f>
        <v>2.08</v>
      </c>
      <c r="L32" s="45"/>
      <c r="M32" s="24"/>
    </row>
    <row r="33" spans="1:26" s="83" customFormat="1" ht="15.5" x14ac:dyDescent="0.3">
      <c r="C33" s="172" t="s">
        <v>44</v>
      </c>
      <c r="D33" s="173" t="s">
        <v>145</v>
      </c>
      <c r="E33" s="171">
        <v>1.05</v>
      </c>
      <c r="F33" s="171">
        <v>2.25</v>
      </c>
      <c r="G33" s="171">
        <v>3.1</v>
      </c>
      <c r="H33" s="171">
        <v>3.55</v>
      </c>
      <c r="I33" s="171">
        <v>3.3</v>
      </c>
      <c r="J33" s="171">
        <v>4.0999999999999996</v>
      </c>
      <c r="K33" s="174">
        <f>1.3*1.8</f>
        <v>2.3400000000000003</v>
      </c>
      <c r="L33" s="45"/>
      <c r="M33" s="24"/>
    </row>
    <row r="34" spans="1:26" s="83" customFormat="1" ht="15.5" x14ac:dyDescent="0.3">
      <c r="C34" s="172" t="s">
        <v>44</v>
      </c>
      <c r="D34" s="173" t="s">
        <v>146</v>
      </c>
      <c r="E34" s="171">
        <v>1.17</v>
      </c>
      <c r="F34" s="171">
        <v>2.5</v>
      </c>
      <c r="G34" s="171">
        <v>3.44</v>
      </c>
      <c r="H34" s="171">
        <v>3.94</v>
      </c>
      <c r="I34" s="171">
        <v>3.67</v>
      </c>
      <c r="J34" s="171">
        <v>4.5599999999999996</v>
      </c>
      <c r="K34" s="174">
        <f>1.3*2</f>
        <v>2.6</v>
      </c>
      <c r="L34" s="45"/>
      <c r="M34" s="24"/>
    </row>
    <row r="35" spans="1:26" s="26" customFormat="1" ht="15.5" x14ac:dyDescent="0.3">
      <c r="C35" s="22"/>
      <c r="D35" s="39" t="s">
        <v>168</v>
      </c>
      <c r="E35" s="40">
        <v>2.2949999999999998E-2</v>
      </c>
      <c r="F35" s="40">
        <v>0.11475</v>
      </c>
      <c r="G35" s="40">
        <v>0.22950000000000001</v>
      </c>
      <c r="H35" s="40">
        <v>0.36719999999999997</v>
      </c>
      <c r="I35" s="40">
        <v>0.43604999999999999</v>
      </c>
      <c r="J35" s="40">
        <v>0.45900000000000002</v>
      </c>
      <c r="K35" s="42">
        <f>1.12*0.485</f>
        <v>0.54320000000000002</v>
      </c>
      <c r="L35" s="45"/>
      <c r="M35" s="104">
        <v>2.7E-2</v>
      </c>
      <c r="N35" s="104">
        <v>0.13500000000000001</v>
      </c>
      <c r="O35" s="104">
        <v>0.27</v>
      </c>
      <c r="P35" s="104">
        <v>0.432</v>
      </c>
      <c r="Q35" s="104">
        <v>0.51300000000000001</v>
      </c>
      <c r="R35" s="104">
        <v>0.54</v>
      </c>
      <c r="T35" s="64">
        <v>-0.15</v>
      </c>
      <c r="U35" s="105">
        <f>M35*0.85</f>
        <v>2.2949999999999998E-2</v>
      </c>
      <c r="V35" s="105">
        <f t="shared" ref="V35:V36" si="6">N35*0.85</f>
        <v>0.11475</v>
      </c>
      <c r="W35" s="105">
        <f t="shared" ref="W35:W36" si="7">O35*0.85</f>
        <v>0.22950000000000001</v>
      </c>
      <c r="X35" s="105">
        <f t="shared" ref="X35:X36" si="8">P35*0.85</f>
        <v>0.36719999999999997</v>
      </c>
      <c r="Y35" s="105">
        <f t="shared" ref="Y35:Y36" si="9">Q35*0.85</f>
        <v>0.43604999999999999</v>
      </c>
      <c r="Z35" s="105">
        <f t="shared" ref="Z35:Z36" si="10">R35*0.85</f>
        <v>0.45900000000000002</v>
      </c>
    </row>
    <row r="36" spans="1:26" s="26" customFormat="1" ht="15.5" x14ac:dyDescent="0.3">
      <c r="B36" s="26" t="s">
        <v>391</v>
      </c>
      <c r="C36" s="22"/>
      <c r="D36" s="173" t="s">
        <v>392</v>
      </c>
      <c r="E36" s="171">
        <v>8.5000000000000006E-2</v>
      </c>
      <c r="F36" s="171">
        <v>0.17</v>
      </c>
      <c r="G36" s="171">
        <v>0.34</v>
      </c>
      <c r="H36" s="171">
        <v>0.42499999999999999</v>
      </c>
      <c r="I36" s="171">
        <v>0.42499999999999999</v>
      </c>
      <c r="J36" s="171">
        <v>0.51</v>
      </c>
      <c r="K36" s="174">
        <f>0.6*0.6</f>
        <v>0.36</v>
      </c>
      <c r="L36" s="45"/>
      <c r="M36" s="104">
        <v>0.1</v>
      </c>
      <c r="N36" s="104">
        <v>0.2</v>
      </c>
      <c r="O36" s="104">
        <v>0.4</v>
      </c>
      <c r="P36" s="104">
        <v>0.5</v>
      </c>
      <c r="Q36" s="104">
        <v>0.5</v>
      </c>
      <c r="R36" s="104">
        <v>0.6</v>
      </c>
      <c r="S36" s="83"/>
      <c r="T36" s="64">
        <v>-0.15</v>
      </c>
      <c r="U36" s="105">
        <f>M36*0.85</f>
        <v>8.5000000000000006E-2</v>
      </c>
      <c r="V36" s="105">
        <f t="shared" si="6"/>
        <v>0.17</v>
      </c>
      <c r="W36" s="105">
        <f t="shared" si="7"/>
        <v>0.34</v>
      </c>
      <c r="X36" s="105">
        <f t="shared" si="8"/>
        <v>0.42499999999999999</v>
      </c>
      <c r="Y36" s="105">
        <f t="shared" si="9"/>
        <v>0.42499999999999999</v>
      </c>
      <c r="Z36" s="105">
        <f t="shared" si="10"/>
        <v>0.51</v>
      </c>
    </row>
    <row r="37" spans="1:26" s="83" customFormat="1" ht="15.5" x14ac:dyDescent="0.3">
      <c r="C37" s="172" t="s">
        <v>44</v>
      </c>
      <c r="D37" s="173" t="s">
        <v>172</v>
      </c>
      <c r="E37" s="171">
        <v>0.2</v>
      </c>
      <c r="F37" s="171">
        <v>0.9</v>
      </c>
      <c r="G37" s="171">
        <v>1.2</v>
      </c>
      <c r="H37" s="171">
        <v>1.6</v>
      </c>
      <c r="I37" s="171">
        <v>1.8</v>
      </c>
      <c r="J37" s="171">
        <v>1.7</v>
      </c>
      <c r="K37" s="174">
        <f>0.375*1.6*2</f>
        <v>1.2000000000000002</v>
      </c>
      <c r="L37" s="45"/>
      <c r="M37" s="24"/>
    </row>
    <row r="38" spans="1:26" s="83" customFormat="1" ht="15.5" x14ac:dyDescent="0.3">
      <c r="C38" s="172" t="s">
        <v>44</v>
      </c>
      <c r="D38" s="173" t="s">
        <v>173</v>
      </c>
      <c r="E38" s="171">
        <v>0.4</v>
      </c>
      <c r="F38" s="171">
        <v>0.9</v>
      </c>
      <c r="G38" s="171">
        <v>1.3</v>
      </c>
      <c r="H38" s="171">
        <v>1.7</v>
      </c>
      <c r="I38" s="171">
        <v>1.9</v>
      </c>
      <c r="J38" s="171">
        <v>1.8</v>
      </c>
      <c r="K38" s="174">
        <v>1.2</v>
      </c>
      <c r="L38" s="45"/>
      <c r="M38" s="24"/>
    </row>
    <row r="39" spans="1:26" s="83" customFormat="1" ht="29" x14ac:dyDescent="0.3">
      <c r="B39" s="205"/>
      <c r="C39" s="172" t="s">
        <v>44</v>
      </c>
      <c r="D39" s="173" t="s">
        <v>208</v>
      </c>
      <c r="E39" s="171">
        <v>0.3</v>
      </c>
      <c r="F39" s="171">
        <v>1.1000000000000001</v>
      </c>
      <c r="G39" s="171">
        <v>1.1000000000000001</v>
      </c>
      <c r="H39" s="171">
        <v>1.6</v>
      </c>
      <c r="I39" s="171">
        <v>1.8</v>
      </c>
      <c r="J39" s="171">
        <v>1.9</v>
      </c>
      <c r="K39" s="174">
        <f>1.3*0.8</f>
        <v>1.04</v>
      </c>
      <c r="L39" s="45" t="s">
        <v>209</v>
      </c>
      <c r="M39" s="24" t="s">
        <v>206</v>
      </c>
    </row>
    <row r="40" spans="1:26" s="83" customFormat="1" ht="26.25" customHeight="1" x14ac:dyDescent="0.3">
      <c r="B40" s="205"/>
      <c r="C40" s="172" t="s">
        <v>44</v>
      </c>
      <c r="D40" s="173" t="s">
        <v>210</v>
      </c>
      <c r="E40" s="171">
        <v>0.3</v>
      </c>
      <c r="F40" s="104">
        <v>1.1000000000000001</v>
      </c>
      <c r="G40" s="104">
        <v>1.1000000000000001</v>
      </c>
      <c r="H40" s="104">
        <v>1.25</v>
      </c>
      <c r="I40" s="171">
        <v>1.45</v>
      </c>
      <c r="J40" s="171">
        <v>1.6</v>
      </c>
      <c r="K40" s="174">
        <v>1.04</v>
      </c>
      <c r="L40" s="45"/>
      <c r="M40" s="24"/>
    </row>
    <row r="41" spans="1:26" s="83" customFormat="1" ht="15.5" x14ac:dyDescent="0.3">
      <c r="C41" s="22"/>
      <c r="D41" s="175"/>
      <c r="E41" s="176"/>
      <c r="F41" s="176"/>
      <c r="G41" s="176"/>
      <c r="H41" s="176"/>
      <c r="I41" s="176"/>
      <c r="J41" s="176"/>
      <c r="K41" s="176"/>
      <c r="L41" s="45"/>
      <c r="M41" s="24"/>
    </row>
    <row r="42" spans="1:26" ht="15.5" x14ac:dyDescent="0.3">
      <c r="D42" s="31" t="s">
        <v>48</v>
      </c>
      <c r="E42" s="19"/>
      <c r="F42" s="30"/>
      <c r="G42" s="16">
        <v>3.64</v>
      </c>
      <c r="L42" s="44"/>
    </row>
    <row r="43" spans="1:26" x14ac:dyDescent="0.3">
      <c r="B43" s="99" t="s">
        <v>114</v>
      </c>
      <c r="C43" s="99"/>
      <c r="D43" s="46" t="s">
        <v>49</v>
      </c>
    </row>
    <row r="44" spans="1:26" x14ac:dyDescent="0.3">
      <c r="A44" s="83" t="s">
        <v>140</v>
      </c>
      <c r="B44" s="101" t="s">
        <v>20</v>
      </c>
      <c r="C44" s="85">
        <f>+'Notice de calcul'!U67</f>
        <v>0</v>
      </c>
      <c r="D44" s="21">
        <f>C44*600*600/1000/1000</f>
        <v>0</v>
      </c>
      <c r="E44" s="21">
        <f t="shared" ref="E44:J45" si="11">+$D44*E14/$K14</f>
        <v>0</v>
      </c>
      <c r="F44" s="84">
        <f t="shared" si="11"/>
        <v>0</v>
      </c>
      <c r="G44" s="84">
        <f t="shared" si="11"/>
        <v>0</v>
      </c>
      <c r="H44" s="84">
        <f t="shared" si="11"/>
        <v>0</v>
      </c>
      <c r="I44" s="84">
        <f t="shared" si="11"/>
        <v>0</v>
      </c>
      <c r="J44" s="84">
        <f t="shared" si="11"/>
        <v>0</v>
      </c>
    </row>
    <row r="45" spans="1:26" s="83" customFormat="1" x14ac:dyDescent="0.3">
      <c r="A45" s="83" t="s">
        <v>141</v>
      </c>
      <c r="B45" s="101" t="s">
        <v>20</v>
      </c>
      <c r="C45" s="85">
        <f>'Notice de calcul'!W67</f>
        <v>0</v>
      </c>
      <c r="D45" s="84">
        <f>C45*600*600/1000/1000</f>
        <v>0</v>
      </c>
      <c r="E45" s="84">
        <f t="shared" si="11"/>
        <v>0</v>
      </c>
      <c r="F45" s="84">
        <f t="shared" si="11"/>
        <v>0</v>
      </c>
      <c r="G45" s="84">
        <f t="shared" si="11"/>
        <v>0</v>
      </c>
      <c r="H45" s="84">
        <f t="shared" si="11"/>
        <v>0</v>
      </c>
      <c r="I45" s="84">
        <f t="shared" si="11"/>
        <v>0</v>
      </c>
      <c r="J45" s="84">
        <f t="shared" si="11"/>
        <v>0</v>
      </c>
    </row>
    <row r="46" spans="1:26" s="83" customFormat="1" x14ac:dyDescent="0.3">
      <c r="A46" s="83" t="s">
        <v>140</v>
      </c>
      <c r="B46" s="101" t="s">
        <v>121</v>
      </c>
      <c r="C46" s="85">
        <f>+'Notice de calcul'!U68</f>
        <v>0</v>
      </c>
      <c r="D46" s="84">
        <f>C46*600*1200/1000/1000</f>
        <v>0</v>
      </c>
      <c r="E46" s="84">
        <f t="shared" ref="E46:J47" si="12">+$D46*E14/$K14</f>
        <v>0</v>
      </c>
      <c r="F46" s="84">
        <f t="shared" si="12"/>
        <v>0</v>
      </c>
      <c r="G46" s="84">
        <f t="shared" si="12"/>
        <v>0</v>
      </c>
      <c r="H46" s="84">
        <f t="shared" si="12"/>
        <v>0</v>
      </c>
      <c r="I46" s="84">
        <f t="shared" si="12"/>
        <v>0</v>
      </c>
      <c r="J46" s="84">
        <f t="shared" si="12"/>
        <v>0</v>
      </c>
    </row>
    <row r="47" spans="1:26" s="83" customFormat="1" x14ac:dyDescent="0.3">
      <c r="A47" s="83" t="s">
        <v>141</v>
      </c>
      <c r="B47" s="101" t="s">
        <v>121</v>
      </c>
      <c r="C47" s="85">
        <f>+'Notice de calcul'!W68</f>
        <v>0</v>
      </c>
      <c r="D47" s="84">
        <f>C47*600*1200/1000/1000</f>
        <v>0</v>
      </c>
      <c r="E47" s="84">
        <f t="shared" si="12"/>
        <v>0</v>
      </c>
      <c r="F47" s="84">
        <f t="shared" si="12"/>
        <v>0</v>
      </c>
      <c r="G47" s="84">
        <f t="shared" si="12"/>
        <v>0</v>
      </c>
      <c r="H47" s="84">
        <f t="shared" si="12"/>
        <v>0</v>
      </c>
      <c r="I47" s="84">
        <f t="shared" si="12"/>
        <v>0</v>
      </c>
      <c r="J47" s="84">
        <f t="shared" si="12"/>
        <v>0</v>
      </c>
    </row>
    <row r="48" spans="1:26" s="83" customFormat="1" x14ac:dyDescent="0.3">
      <c r="B48" s="99" t="s">
        <v>306</v>
      </c>
      <c r="C48" s="85"/>
      <c r="D48" s="84"/>
      <c r="E48" s="84"/>
      <c r="F48" s="84"/>
      <c r="G48" s="84"/>
      <c r="H48" s="84"/>
      <c r="I48" s="84"/>
      <c r="J48" s="84"/>
    </row>
    <row r="49" spans="1:10" s="83" customFormat="1" x14ac:dyDescent="0.3">
      <c r="A49" s="83" t="s">
        <v>141</v>
      </c>
      <c r="B49" s="101" t="s">
        <v>307</v>
      </c>
      <c r="C49" s="85">
        <f>+'Notice de calcul'!U61</f>
        <v>0</v>
      </c>
      <c r="D49" s="84">
        <f>C49*1000/1000</f>
        <v>0</v>
      </c>
      <c r="E49" s="84">
        <f>+$D49*E15/$K15</f>
        <v>0</v>
      </c>
      <c r="F49" s="84">
        <f>+$D49*F15/$K15</f>
        <v>0</v>
      </c>
      <c r="G49" s="84">
        <f t="shared" ref="G49:J49" si="13">+$D49*G15/$K15</f>
        <v>0</v>
      </c>
      <c r="H49" s="84">
        <f t="shared" si="13"/>
        <v>0</v>
      </c>
      <c r="I49" s="84">
        <f t="shared" si="13"/>
        <v>0</v>
      </c>
      <c r="J49" s="84">
        <f t="shared" si="13"/>
        <v>0</v>
      </c>
    </row>
    <row r="50" spans="1:10" s="83" customFormat="1" x14ac:dyDescent="0.3">
      <c r="A50" s="83" t="s">
        <v>141</v>
      </c>
      <c r="B50" s="101" t="s">
        <v>393</v>
      </c>
      <c r="C50" s="85">
        <f>+'Notice de calcul'!V61</f>
        <v>0</v>
      </c>
      <c r="D50" s="84">
        <f>C50*1000/1000</f>
        <v>0</v>
      </c>
      <c r="E50" s="84">
        <f>+$D50*E36/$K36</f>
        <v>0</v>
      </c>
      <c r="F50" s="84">
        <f>+$D50*F36/$K36</f>
        <v>0</v>
      </c>
      <c r="G50" s="84">
        <f t="shared" ref="G50:J50" si="14">+$D50*G36/$K36</f>
        <v>0</v>
      </c>
      <c r="H50" s="84">
        <f t="shared" si="14"/>
        <v>0</v>
      </c>
      <c r="I50" s="84">
        <f t="shared" si="14"/>
        <v>0</v>
      </c>
      <c r="J50" s="84">
        <f t="shared" si="14"/>
        <v>0</v>
      </c>
    </row>
    <row r="51" spans="1:10" ht="13.5" customHeight="1" x14ac:dyDescent="0.3">
      <c r="B51" s="99" t="s">
        <v>19</v>
      </c>
      <c r="C51" s="99"/>
      <c r="E51" s="103"/>
      <c r="F51" s="103"/>
      <c r="G51" s="103"/>
      <c r="H51" s="103"/>
      <c r="I51" s="103"/>
      <c r="J51" s="103"/>
    </row>
    <row r="52" spans="1:10" s="83" customFormat="1" ht="13.5" customHeight="1" x14ac:dyDescent="0.3">
      <c r="B52" s="101" t="s">
        <v>103</v>
      </c>
      <c r="C52" s="85">
        <f>+'Notice de calcul'!L51</f>
        <v>0</v>
      </c>
      <c r="D52" s="84">
        <f>C52*300*1195/1000/1000</f>
        <v>0</v>
      </c>
      <c r="E52" s="84">
        <f t="shared" ref="E52:J54" si="15">+$D52*E$16/$K$16</f>
        <v>0</v>
      </c>
      <c r="F52" s="84">
        <f t="shared" si="15"/>
        <v>0</v>
      </c>
      <c r="G52" s="84">
        <f t="shared" si="15"/>
        <v>0</v>
      </c>
      <c r="H52" s="84">
        <f t="shared" si="15"/>
        <v>0</v>
      </c>
      <c r="I52" s="84">
        <f t="shared" si="15"/>
        <v>0</v>
      </c>
      <c r="J52" s="84">
        <f t="shared" si="15"/>
        <v>0</v>
      </c>
    </row>
    <row r="53" spans="1:10" s="83" customFormat="1" ht="13.5" customHeight="1" x14ac:dyDescent="0.3">
      <c r="B53" s="101" t="s">
        <v>104</v>
      </c>
      <c r="C53" s="85">
        <f>+'Notice de calcul'!L52</f>
        <v>0</v>
      </c>
      <c r="D53" s="84">
        <f>C53*300*1795/1000/1000</f>
        <v>0</v>
      </c>
      <c r="E53" s="84">
        <f t="shared" si="15"/>
        <v>0</v>
      </c>
      <c r="F53" s="84">
        <f t="shared" si="15"/>
        <v>0</v>
      </c>
      <c r="G53" s="84">
        <f t="shared" si="15"/>
        <v>0</v>
      </c>
      <c r="H53" s="84">
        <f t="shared" si="15"/>
        <v>0</v>
      </c>
      <c r="I53" s="84">
        <f t="shared" si="15"/>
        <v>0</v>
      </c>
      <c r="J53" s="84">
        <f t="shared" si="15"/>
        <v>0</v>
      </c>
    </row>
    <row r="54" spans="1:10" s="83" customFormat="1" ht="13.5" customHeight="1" x14ac:dyDescent="0.3">
      <c r="B54" s="101" t="s">
        <v>105</v>
      </c>
      <c r="C54" s="85">
        <f>+'Notice de calcul'!L53</f>
        <v>0</v>
      </c>
      <c r="D54" s="84">
        <f>C54*300*2390/1000/1000</f>
        <v>0</v>
      </c>
      <c r="E54" s="84">
        <f t="shared" si="15"/>
        <v>0</v>
      </c>
      <c r="F54" s="84">
        <f t="shared" si="15"/>
        <v>0</v>
      </c>
      <c r="G54" s="84">
        <f t="shared" si="15"/>
        <v>0</v>
      </c>
      <c r="H54" s="84">
        <f t="shared" si="15"/>
        <v>0</v>
      </c>
      <c r="I54" s="84">
        <f t="shared" si="15"/>
        <v>0</v>
      </c>
      <c r="J54" s="84">
        <f t="shared" si="15"/>
        <v>0</v>
      </c>
    </row>
    <row r="55" spans="1:10" ht="13.5" customHeight="1" x14ac:dyDescent="0.3">
      <c r="B55" s="101" t="s">
        <v>20</v>
      </c>
      <c r="C55" s="85">
        <f>+'Notice de calcul'!L54</f>
        <v>0</v>
      </c>
      <c r="D55" s="84">
        <f>C55*600*600/1000/1000</f>
        <v>0</v>
      </c>
      <c r="E55" s="84">
        <f>+$D55*E$16/$K$16</f>
        <v>0</v>
      </c>
      <c r="F55" s="84">
        <f t="shared" ref="F55:J65" si="16">+$D55*F$16/$K$16</f>
        <v>0</v>
      </c>
      <c r="G55" s="84">
        <f t="shared" si="16"/>
        <v>0</v>
      </c>
      <c r="H55" s="84">
        <f t="shared" si="16"/>
        <v>0</v>
      </c>
      <c r="I55" s="84">
        <f t="shared" si="16"/>
        <v>0</v>
      </c>
      <c r="J55" s="84">
        <f>+$D55*J$16/$K$16</f>
        <v>0</v>
      </c>
    </row>
    <row r="56" spans="1:10" x14ac:dyDescent="0.3">
      <c r="B56" s="101" t="s">
        <v>21</v>
      </c>
      <c r="C56" s="85">
        <f>+'Notice de calcul'!L55</f>
        <v>0</v>
      </c>
      <c r="D56" s="84">
        <f>C56*600*1195/1000/1000</f>
        <v>0</v>
      </c>
      <c r="E56" s="84">
        <f t="shared" ref="E56:E65" si="17">+$D56*E$16/$K$16</f>
        <v>0</v>
      </c>
      <c r="F56" s="84">
        <f t="shared" si="16"/>
        <v>0</v>
      </c>
      <c r="G56" s="84">
        <f t="shared" si="16"/>
        <v>0</v>
      </c>
      <c r="H56" s="84">
        <f t="shared" si="16"/>
        <v>0</v>
      </c>
      <c r="I56" s="84">
        <f t="shared" si="16"/>
        <v>0</v>
      </c>
      <c r="J56" s="84">
        <f t="shared" si="16"/>
        <v>0</v>
      </c>
    </row>
    <row r="57" spans="1:10" x14ac:dyDescent="0.3">
      <c r="B57" s="101" t="s">
        <v>22</v>
      </c>
      <c r="C57" s="85">
        <f>+'Notice de calcul'!L56</f>
        <v>0</v>
      </c>
      <c r="D57" s="84">
        <f>C57*1195*1195/1000/1000</f>
        <v>0</v>
      </c>
      <c r="E57" s="84">
        <f t="shared" si="17"/>
        <v>0</v>
      </c>
      <c r="F57" s="84">
        <f t="shared" si="16"/>
        <v>0</v>
      </c>
      <c r="G57" s="84">
        <f>+$D57*G$16/$K$16</f>
        <v>0</v>
      </c>
      <c r="H57" s="84">
        <f t="shared" si="16"/>
        <v>0</v>
      </c>
      <c r="I57" s="84">
        <f t="shared" si="16"/>
        <v>0</v>
      </c>
      <c r="J57" s="84">
        <f t="shared" si="16"/>
        <v>0</v>
      </c>
    </row>
    <row r="58" spans="1:10" x14ac:dyDescent="0.3">
      <c r="B58" s="101" t="s">
        <v>23</v>
      </c>
      <c r="C58" s="85">
        <f>+'Notice de calcul'!L57</f>
        <v>0</v>
      </c>
      <c r="D58" s="84">
        <f>C58*600*1795/1000/1000</f>
        <v>0</v>
      </c>
      <c r="E58" s="84">
        <f t="shared" si="17"/>
        <v>0</v>
      </c>
      <c r="F58" s="84">
        <f t="shared" si="16"/>
        <v>0</v>
      </c>
      <c r="G58" s="84">
        <f t="shared" si="16"/>
        <v>0</v>
      </c>
      <c r="H58" s="84">
        <f t="shared" si="16"/>
        <v>0</v>
      </c>
      <c r="I58" s="84">
        <f t="shared" si="16"/>
        <v>0</v>
      </c>
      <c r="J58" s="84">
        <f t="shared" si="16"/>
        <v>0</v>
      </c>
    </row>
    <row r="59" spans="1:10" x14ac:dyDescent="0.3">
      <c r="B59" s="101" t="s">
        <v>24</v>
      </c>
      <c r="C59" s="85">
        <f>+'Notice de calcul'!L58</f>
        <v>0</v>
      </c>
      <c r="D59" s="84">
        <f>C59*600*2390/1000/1000</f>
        <v>0</v>
      </c>
      <c r="E59" s="84">
        <f t="shared" si="17"/>
        <v>0</v>
      </c>
      <c r="F59" s="84">
        <f t="shared" si="16"/>
        <v>0</v>
      </c>
      <c r="G59" s="84">
        <f t="shared" si="16"/>
        <v>0</v>
      </c>
      <c r="H59" s="84">
        <f t="shared" si="16"/>
        <v>0</v>
      </c>
      <c r="I59" s="84">
        <f t="shared" si="16"/>
        <v>0</v>
      </c>
      <c r="J59" s="84">
        <f t="shared" si="16"/>
        <v>0</v>
      </c>
    </row>
    <row r="60" spans="1:10" s="83" customFormat="1" x14ac:dyDescent="0.3">
      <c r="B60" s="101" t="s">
        <v>85</v>
      </c>
      <c r="C60" s="85">
        <f>+'Notice de calcul'!L59</f>
        <v>0</v>
      </c>
      <c r="D60" s="84">
        <f>C60*400*1195/1000/1000</f>
        <v>0</v>
      </c>
      <c r="E60" s="84">
        <f t="shared" si="17"/>
        <v>0</v>
      </c>
      <c r="F60" s="84">
        <f t="shared" si="16"/>
        <v>0</v>
      </c>
      <c r="G60" s="84">
        <f t="shared" si="16"/>
        <v>0</v>
      </c>
      <c r="H60" s="84">
        <f t="shared" si="16"/>
        <v>0</v>
      </c>
      <c r="I60" s="84">
        <f t="shared" si="16"/>
        <v>0</v>
      </c>
      <c r="J60" s="84">
        <f t="shared" si="16"/>
        <v>0</v>
      </c>
    </row>
    <row r="61" spans="1:10" s="83" customFormat="1" x14ac:dyDescent="0.3">
      <c r="B61" s="101" t="s">
        <v>101</v>
      </c>
      <c r="C61" s="85">
        <f>+'Notice de calcul'!L61</f>
        <v>0</v>
      </c>
      <c r="D61" s="84">
        <f>C61*495*1500/1000/1000</f>
        <v>0</v>
      </c>
      <c r="E61" s="84">
        <f t="shared" si="17"/>
        <v>0</v>
      </c>
      <c r="F61" s="84">
        <f t="shared" si="16"/>
        <v>0</v>
      </c>
      <c r="G61" s="84">
        <f t="shared" si="16"/>
        <v>0</v>
      </c>
      <c r="H61" s="84">
        <f t="shared" si="16"/>
        <v>0</v>
      </c>
      <c r="I61" s="84">
        <f t="shared" si="16"/>
        <v>0</v>
      </c>
      <c r="J61" s="84">
        <f t="shared" si="16"/>
        <v>0</v>
      </c>
    </row>
    <row r="62" spans="1:10" s="83" customFormat="1" x14ac:dyDescent="0.3">
      <c r="B62" s="101" t="s">
        <v>102</v>
      </c>
      <c r="C62" s="85">
        <f>+'Notice de calcul'!L62</f>
        <v>0</v>
      </c>
      <c r="D62" s="84">
        <f>C62*495*1700/1000/1000</f>
        <v>0</v>
      </c>
      <c r="E62" s="84">
        <f t="shared" si="17"/>
        <v>0</v>
      </c>
      <c r="F62" s="84">
        <f t="shared" si="16"/>
        <v>0</v>
      </c>
      <c r="G62" s="84">
        <f t="shared" si="16"/>
        <v>0</v>
      </c>
      <c r="H62" s="84">
        <f t="shared" si="16"/>
        <v>0</v>
      </c>
      <c r="I62" s="84">
        <f t="shared" si="16"/>
        <v>0</v>
      </c>
      <c r="J62" s="84">
        <f t="shared" si="16"/>
        <v>0</v>
      </c>
    </row>
    <row r="63" spans="1:10" s="83" customFormat="1" x14ac:dyDescent="0.3">
      <c r="B63" s="101" t="s">
        <v>153</v>
      </c>
      <c r="C63" s="85">
        <f>+'Notice de calcul'!L60</f>
        <v>0</v>
      </c>
      <c r="D63" s="84">
        <f>C63*495*600/1000/1000</f>
        <v>0</v>
      </c>
      <c r="E63" s="84">
        <f t="shared" si="17"/>
        <v>0</v>
      </c>
      <c r="F63" s="84">
        <f t="shared" si="16"/>
        <v>0</v>
      </c>
      <c r="G63" s="84">
        <f t="shared" si="16"/>
        <v>0</v>
      </c>
      <c r="H63" s="84">
        <f t="shared" si="16"/>
        <v>0</v>
      </c>
      <c r="I63" s="84">
        <f t="shared" si="16"/>
        <v>0</v>
      </c>
      <c r="J63" s="84">
        <f t="shared" si="16"/>
        <v>0</v>
      </c>
    </row>
    <row r="64" spans="1:10" s="83" customFormat="1" x14ac:dyDescent="0.3">
      <c r="B64" s="101" t="s">
        <v>86</v>
      </c>
      <c r="C64" s="85">
        <f>+'Notice de calcul'!L63</f>
        <v>0</v>
      </c>
      <c r="D64" s="84">
        <f>C64*1795*1195/1000/1000</f>
        <v>0</v>
      </c>
      <c r="E64" s="84">
        <f t="shared" si="17"/>
        <v>0</v>
      </c>
      <c r="F64" s="84">
        <f t="shared" si="16"/>
        <v>0</v>
      </c>
      <c r="G64" s="84">
        <f t="shared" si="16"/>
        <v>0</v>
      </c>
      <c r="H64" s="84">
        <f t="shared" si="16"/>
        <v>0</v>
      </c>
      <c r="I64" s="84">
        <f t="shared" si="16"/>
        <v>0</v>
      </c>
      <c r="J64" s="84">
        <f t="shared" si="16"/>
        <v>0</v>
      </c>
    </row>
    <row r="65" spans="2:10" s="83" customFormat="1" x14ac:dyDescent="0.3">
      <c r="B65" s="101" t="s">
        <v>87</v>
      </c>
      <c r="C65" s="85">
        <f>+'Notice de calcul'!L64</f>
        <v>0</v>
      </c>
      <c r="D65" s="84">
        <f>C65*2390*1195/1000/1000</f>
        <v>0</v>
      </c>
      <c r="E65" s="84">
        <f t="shared" si="17"/>
        <v>0</v>
      </c>
      <c r="F65" s="84">
        <f t="shared" si="16"/>
        <v>0</v>
      </c>
      <c r="G65" s="84">
        <f t="shared" si="16"/>
        <v>0</v>
      </c>
      <c r="H65" s="84">
        <f t="shared" si="16"/>
        <v>0</v>
      </c>
      <c r="I65" s="84">
        <f t="shared" si="16"/>
        <v>0</v>
      </c>
      <c r="J65" s="84">
        <f t="shared" si="16"/>
        <v>0</v>
      </c>
    </row>
    <row r="66" spans="2:10" ht="7.5" customHeight="1" x14ac:dyDescent="0.3">
      <c r="B66" s="101"/>
      <c r="C66" s="102"/>
      <c r="E66" s="21"/>
    </row>
    <row r="67" spans="2:10" x14ac:dyDescent="0.3">
      <c r="B67" s="99" t="s">
        <v>18</v>
      </c>
      <c r="C67" s="99"/>
      <c r="E67" s="21"/>
    </row>
    <row r="68" spans="2:10" s="83" customFormat="1" ht="13.5" customHeight="1" x14ac:dyDescent="0.3">
      <c r="B68" s="101" t="s">
        <v>103</v>
      </c>
      <c r="C68" s="85">
        <f>'Notice de calcul'!M51</f>
        <v>0</v>
      </c>
      <c r="D68" s="84">
        <f>C68*300*1195/1000/1000</f>
        <v>0</v>
      </c>
      <c r="E68" s="84">
        <f>+$D68*E$17/$K$17</f>
        <v>0</v>
      </c>
      <c r="F68" s="84">
        <f t="shared" ref="E68:J70" si="18">+$D68*F$17/$K$17</f>
        <v>0</v>
      </c>
      <c r="G68" s="84">
        <f t="shared" si="18"/>
        <v>0</v>
      </c>
      <c r="H68" s="84">
        <f t="shared" si="18"/>
        <v>0</v>
      </c>
      <c r="I68" s="84">
        <f t="shared" si="18"/>
        <v>0</v>
      </c>
      <c r="J68" s="84">
        <f t="shared" si="18"/>
        <v>0</v>
      </c>
    </row>
    <row r="69" spans="2:10" s="83" customFormat="1" ht="13.5" customHeight="1" x14ac:dyDescent="0.3">
      <c r="B69" s="101" t="s">
        <v>104</v>
      </c>
      <c r="C69" s="85">
        <f>'Notice de calcul'!M52</f>
        <v>0</v>
      </c>
      <c r="D69" s="84">
        <f>C69*300*1795/1000/1000</f>
        <v>0</v>
      </c>
      <c r="E69" s="84">
        <f t="shared" si="18"/>
        <v>0</v>
      </c>
      <c r="F69" s="84">
        <f t="shared" si="18"/>
        <v>0</v>
      </c>
      <c r="G69" s="84">
        <f t="shared" si="18"/>
        <v>0</v>
      </c>
      <c r="H69" s="84">
        <f t="shared" si="18"/>
        <v>0</v>
      </c>
      <c r="I69" s="84">
        <f t="shared" si="18"/>
        <v>0</v>
      </c>
      <c r="J69" s="84">
        <f t="shared" si="18"/>
        <v>0</v>
      </c>
    </row>
    <row r="70" spans="2:10" s="83" customFormat="1" ht="13.5" customHeight="1" x14ac:dyDescent="0.3">
      <c r="B70" s="101" t="s">
        <v>105</v>
      </c>
      <c r="C70" s="85">
        <f>'Notice de calcul'!M53</f>
        <v>0</v>
      </c>
      <c r="D70" s="84">
        <f>C70*300*2390/1000/1000</f>
        <v>0</v>
      </c>
      <c r="E70" s="84">
        <f t="shared" si="18"/>
        <v>0</v>
      </c>
      <c r="F70" s="84">
        <f t="shared" si="18"/>
        <v>0</v>
      </c>
      <c r="G70" s="84">
        <f t="shared" si="18"/>
        <v>0</v>
      </c>
      <c r="H70" s="84">
        <f t="shared" si="18"/>
        <v>0</v>
      </c>
      <c r="I70" s="84">
        <f t="shared" si="18"/>
        <v>0</v>
      </c>
      <c r="J70" s="84">
        <f t="shared" si="18"/>
        <v>0</v>
      </c>
    </row>
    <row r="71" spans="2:10" x14ac:dyDescent="0.3">
      <c r="B71" s="101" t="s">
        <v>20</v>
      </c>
      <c r="C71" s="85">
        <f>'Notice de calcul'!M54</f>
        <v>0</v>
      </c>
      <c r="D71" s="84">
        <f>C71*600*600/1000/1000</f>
        <v>0</v>
      </c>
      <c r="E71" s="84">
        <f>+$D71*E$17/$K$17</f>
        <v>0</v>
      </c>
      <c r="F71" s="84">
        <f t="shared" ref="F71:J81" si="19">+$D71*F$17/$K$17</f>
        <v>0</v>
      </c>
      <c r="G71" s="84">
        <f t="shared" si="19"/>
        <v>0</v>
      </c>
      <c r="H71" s="84">
        <f t="shared" si="19"/>
        <v>0</v>
      </c>
      <c r="I71" s="84">
        <f t="shared" si="19"/>
        <v>0</v>
      </c>
      <c r="J71" s="84">
        <f t="shared" si="19"/>
        <v>0</v>
      </c>
    </row>
    <row r="72" spans="2:10" x14ac:dyDescent="0.3">
      <c r="B72" s="101" t="s">
        <v>21</v>
      </c>
      <c r="C72" s="85">
        <f>'Notice de calcul'!M55</f>
        <v>0</v>
      </c>
      <c r="D72" s="84">
        <f>C72*600*1195/1000/1000</f>
        <v>0</v>
      </c>
      <c r="E72" s="84">
        <f t="shared" ref="E72:E81" si="20">+$D72*E$17/$K$17</f>
        <v>0</v>
      </c>
      <c r="F72" s="84">
        <f t="shared" si="19"/>
        <v>0</v>
      </c>
      <c r="G72" s="84">
        <f t="shared" si="19"/>
        <v>0</v>
      </c>
      <c r="H72" s="84">
        <f t="shared" si="19"/>
        <v>0</v>
      </c>
      <c r="I72" s="84">
        <f t="shared" si="19"/>
        <v>0</v>
      </c>
      <c r="J72" s="84">
        <f t="shared" si="19"/>
        <v>0</v>
      </c>
    </row>
    <row r="73" spans="2:10" x14ac:dyDescent="0.3">
      <c r="B73" s="101" t="s">
        <v>22</v>
      </c>
      <c r="C73" s="85">
        <f>'Notice de calcul'!M56</f>
        <v>0</v>
      </c>
      <c r="D73" s="84">
        <f>C73*1195*1195/1000/1000</f>
        <v>0</v>
      </c>
      <c r="E73" s="84">
        <f t="shared" si="20"/>
        <v>0</v>
      </c>
      <c r="F73" s="84">
        <f t="shared" si="19"/>
        <v>0</v>
      </c>
      <c r="G73" s="84">
        <f t="shared" si="19"/>
        <v>0</v>
      </c>
      <c r="H73" s="84">
        <f t="shared" si="19"/>
        <v>0</v>
      </c>
      <c r="I73" s="84">
        <f t="shared" si="19"/>
        <v>0</v>
      </c>
      <c r="J73" s="84">
        <f t="shared" si="19"/>
        <v>0</v>
      </c>
    </row>
    <row r="74" spans="2:10" x14ac:dyDescent="0.3">
      <c r="B74" s="101" t="s">
        <v>23</v>
      </c>
      <c r="C74" s="85">
        <f>'Notice de calcul'!M57</f>
        <v>0</v>
      </c>
      <c r="D74" s="84">
        <f>C74*600*1795/1000/1000</f>
        <v>0</v>
      </c>
      <c r="E74" s="84">
        <f t="shared" si="20"/>
        <v>0</v>
      </c>
      <c r="F74" s="84">
        <f t="shared" si="19"/>
        <v>0</v>
      </c>
      <c r="G74" s="84">
        <f t="shared" si="19"/>
        <v>0</v>
      </c>
      <c r="H74" s="84">
        <f t="shared" si="19"/>
        <v>0</v>
      </c>
      <c r="I74" s="84">
        <f t="shared" si="19"/>
        <v>0</v>
      </c>
      <c r="J74" s="84">
        <f t="shared" si="19"/>
        <v>0</v>
      </c>
    </row>
    <row r="75" spans="2:10" x14ac:dyDescent="0.3">
      <c r="B75" s="101" t="s">
        <v>24</v>
      </c>
      <c r="C75" s="85">
        <f>'Notice de calcul'!M58</f>
        <v>0</v>
      </c>
      <c r="D75" s="84">
        <f>C75*600*2390/1000/1000</f>
        <v>0</v>
      </c>
      <c r="E75" s="84">
        <f t="shared" si="20"/>
        <v>0</v>
      </c>
      <c r="F75" s="84">
        <f t="shared" si="19"/>
        <v>0</v>
      </c>
      <c r="G75" s="84">
        <f t="shared" si="19"/>
        <v>0</v>
      </c>
      <c r="H75" s="84">
        <f t="shared" si="19"/>
        <v>0</v>
      </c>
      <c r="I75" s="84">
        <f t="shared" si="19"/>
        <v>0</v>
      </c>
      <c r="J75" s="84">
        <f t="shared" si="19"/>
        <v>0</v>
      </c>
    </row>
    <row r="76" spans="2:10" s="83" customFormat="1" x14ac:dyDescent="0.3">
      <c r="B76" s="101" t="s">
        <v>85</v>
      </c>
      <c r="C76" s="85">
        <f>'Notice de calcul'!M59</f>
        <v>0</v>
      </c>
      <c r="D76" s="84">
        <f>C76*400*1195/1000/1000</f>
        <v>0</v>
      </c>
      <c r="E76" s="84">
        <f t="shared" si="20"/>
        <v>0</v>
      </c>
      <c r="F76" s="84">
        <f t="shared" si="19"/>
        <v>0</v>
      </c>
      <c r="G76" s="84">
        <f t="shared" si="19"/>
        <v>0</v>
      </c>
      <c r="H76" s="84">
        <f t="shared" si="19"/>
        <v>0</v>
      </c>
      <c r="I76" s="84">
        <f t="shared" si="19"/>
        <v>0</v>
      </c>
      <c r="J76" s="84">
        <f t="shared" si="19"/>
        <v>0</v>
      </c>
    </row>
    <row r="77" spans="2:10" s="83" customFormat="1" x14ac:dyDescent="0.3">
      <c r="B77" s="101" t="s">
        <v>101</v>
      </c>
      <c r="C77" s="85">
        <f>'Notice de calcul'!M61</f>
        <v>0</v>
      </c>
      <c r="D77" s="84">
        <f>C77*495*1500/1000/1000</f>
        <v>0</v>
      </c>
      <c r="E77" s="84">
        <f t="shared" si="20"/>
        <v>0</v>
      </c>
      <c r="F77" s="84">
        <f t="shared" si="19"/>
        <v>0</v>
      </c>
      <c r="G77" s="84">
        <f t="shared" si="19"/>
        <v>0</v>
      </c>
      <c r="H77" s="84">
        <f t="shared" si="19"/>
        <v>0</v>
      </c>
      <c r="I77" s="84">
        <f t="shared" si="19"/>
        <v>0</v>
      </c>
      <c r="J77" s="84">
        <f t="shared" si="19"/>
        <v>0</v>
      </c>
    </row>
    <row r="78" spans="2:10" s="83" customFormat="1" x14ac:dyDescent="0.3">
      <c r="B78" s="101" t="s">
        <v>102</v>
      </c>
      <c r="C78" s="85">
        <f>'Notice de calcul'!M62</f>
        <v>0</v>
      </c>
      <c r="D78" s="84">
        <f>C78*495*1700/1000/1000</f>
        <v>0</v>
      </c>
      <c r="E78" s="84">
        <f t="shared" si="20"/>
        <v>0</v>
      </c>
      <c r="F78" s="84">
        <f t="shared" si="19"/>
        <v>0</v>
      </c>
      <c r="G78" s="84">
        <f t="shared" si="19"/>
        <v>0</v>
      </c>
      <c r="H78" s="84">
        <f t="shared" si="19"/>
        <v>0</v>
      </c>
      <c r="I78" s="84">
        <f t="shared" si="19"/>
        <v>0</v>
      </c>
      <c r="J78" s="84">
        <f t="shared" si="19"/>
        <v>0</v>
      </c>
    </row>
    <row r="79" spans="2:10" s="83" customFormat="1" x14ac:dyDescent="0.3">
      <c r="B79" s="101" t="s">
        <v>153</v>
      </c>
      <c r="C79" s="85">
        <f>+'Notice de calcul'!M60</f>
        <v>0</v>
      </c>
      <c r="D79" s="84">
        <f>C79*495*600/1000/1000</f>
        <v>0</v>
      </c>
      <c r="E79" s="84">
        <f t="shared" si="20"/>
        <v>0</v>
      </c>
      <c r="F79" s="84">
        <f t="shared" si="19"/>
        <v>0</v>
      </c>
      <c r="G79" s="84">
        <f t="shared" si="19"/>
        <v>0</v>
      </c>
      <c r="H79" s="84">
        <f t="shared" si="19"/>
        <v>0</v>
      </c>
      <c r="I79" s="84">
        <f t="shared" si="19"/>
        <v>0</v>
      </c>
      <c r="J79" s="84">
        <f t="shared" si="19"/>
        <v>0</v>
      </c>
    </row>
    <row r="80" spans="2:10" s="83" customFormat="1" x14ac:dyDescent="0.3">
      <c r="B80" s="101" t="s">
        <v>86</v>
      </c>
      <c r="C80" s="85">
        <f>'Notice de calcul'!M63</f>
        <v>0</v>
      </c>
      <c r="D80" s="84">
        <f>C80*1795*1195/1000/1000</f>
        <v>0</v>
      </c>
      <c r="E80" s="84">
        <f t="shared" si="20"/>
        <v>0</v>
      </c>
      <c r="F80" s="84">
        <f t="shared" si="19"/>
        <v>0</v>
      </c>
      <c r="G80" s="84">
        <f t="shared" si="19"/>
        <v>0</v>
      </c>
      <c r="H80" s="84">
        <f t="shared" si="19"/>
        <v>0</v>
      </c>
      <c r="I80" s="84">
        <f t="shared" si="19"/>
        <v>0</v>
      </c>
      <c r="J80" s="84">
        <f t="shared" si="19"/>
        <v>0</v>
      </c>
    </row>
    <row r="81" spans="2:19" s="83" customFormat="1" x14ac:dyDescent="0.3">
      <c r="B81" s="101" t="s">
        <v>87</v>
      </c>
      <c r="C81" s="85">
        <f>'Notice de calcul'!M64</f>
        <v>0</v>
      </c>
      <c r="D81" s="84">
        <f>C81*2390*1195/1000/1000</f>
        <v>0</v>
      </c>
      <c r="E81" s="84">
        <f t="shared" si="20"/>
        <v>0</v>
      </c>
      <c r="F81" s="84">
        <f t="shared" si="19"/>
        <v>0</v>
      </c>
      <c r="G81" s="84">
        <f t="shared" si="19"/>
        <v>0</v>
      </c>
      <c r="H81" s="84">
        <f t="shared" si="19"/>
        <v>0</v>
      </c>
      <c r="I81" s="84">
        <f t="shared" si="19"/>
        <v>0</v>
      </c>
      <c r="J81" s="84">
        <f t="shared" si="19"/>
        <v>0</v>
      </c>
    </row>
    <row r="82" spans="2:19" ht="15" customHeight="1" x14ac:dyDescent="0.3">
      <c r="B82" s="19"/>
      <c r="C82" s="30"/>
      <c r="E82" s="26"/>
      <c r="P82" s="32"/>
      <c r="Q82" s="37"/>
      <c r="R82" s="37"/>
      <c r="S82" s="37"/>
    </row>
    <row r="83" spans="2:19" s="83" customFormat="1" x14ac:dyDescent="0.3">
      <c r="B83" s="99" t="s">
        <v>88</v>
      </c>
      <c r="C83" s="99"/>
      <c r="E83" s="84"/>
      <c r="P83" s="32"/>
      <c r="Q83" s="37"/>
      <c r="R83" s="37"/>
      <c r="S83" s="37"/>
    </row>
    <row r="84" spans="2:19" s="83" customFormat="1" x14ac:dyDescent="0.3">
      <c r="B84" s="284" t="s">
        <v>23</v>
      </c>
      <c r="C84" s="285"/>
      <c r="D84" s="286">
        <f>C84*600*1795/1000/1000</f>
        <v>0</v>
      </c>
      <c r="E84" s="286">
        <f>+$D84*E$27/$K$27</f>
        <v>0</v>
      </c>
      <c r="F84" s="286">
        <f t="shared" ref="F84:J84" si="21">+$D84*F$27/$K$27</f>
        <v>0</v>
      </c>
      <c r="G84" s="286">
        <f t="shared" si="21"/>
        <v>0</v>
      </c>
      <c r="H84" s="286">
        <f t="shared" si="21"/>
        <v>0</v>
      </c>
      <c r="I84" s="286">
        <f t="shared" si="21"/>
        <v>0</v>
      </c>
      <c r="J84" s="286">
        <f t="shared" si="21"/>
        <v>0</v>
      </c>
      <c r="P84" s="32"/>
      <c r="Q84" s="37"/>
      <c r="R84" s="37"/>
      <c r="S84" s="37"/>
    </row>
    <row r="85" spans="2:19" s="83" customFormat="1" x14ac:dyDescent="0.3">
      <c r="B85" s="284" t="s">
        <v>86</v>
      </c>
      <c r="C85" s="285"/>
      <c r="D85" s="286">
        <f>C85*1195*1795/1000/1000</f>
        <v>0</v>
      </c>
      <c r="E85" s="286">
        <f>+$D85*E$26/$K$26</f>
        <v>0</v>
      </c>
      <c r="F85" s="286">
        <f>+$D85*F$26/$K$26</f>
        <v>0</v>
      </c>
      <c r="G85" s="286">
        <f t="shared" ref="G85:J85" si="22">+$D85*G$26/$K$26</f>
        <v>0</v>
      </c>
      <c r="H85" s="286">
        <f t="shared" si="22"/>
        <v>0</v>
      </c>
      <c r="I85" s="286">
        <f t="shared" si="22"/>
        <v>0</v>
      </c>
      <c r="J85" s="286">
        <f t="shared" si="22"/>
        <v>0</v>
      </c>
      <c r="P85" s="32"/>
      <c r="Q85" s="37"/>
      <c r="R85" s="37"/>
      <c r="S85" s="37"/>
    </row>
    <row r="86" spans="2:19" s="83" customFormat="1" ht="4.5" customHeight="1" x14ac:dyDescent="0.3">
      <c r="B86" s="19"/>
      <c r="C86" s="30"/>
      <c r="E86" s="26"/>
      <c r="P86" s="32"/>
      <c r="Q86" s="37"/>
      <c r="R86" s="37"/>
      <c r="S86" s="37"/>
    </row>
    <row r="87" spans="2:19" s="83" customFormat="1" x14ac:dyDescent="0.3">
      <c r="B87" s="99" t="s">
        <v>98</v>
      </c>
      <c r="C87" s="99"/>
      <c r="E87" s="84"/>
      <c r="P87" s="32"/>
      <c r="Q87" s="37"/>
      <c r="R87" s="37"/>
      <c r="S87" s="37"/>
    </row>
    <row r="88" spans="2:19" s="83" customFormat="1" x14ac:dyDescent="0.3">
      <c r="B88" s="101" t="s">
        <v>99</v>
      </c>
      <c r="C88" s="85">
        <f>+'Notice de calcul'!P54</f>
        <v>0</v>
      </c>
      <c r="D88" s="84">
        <f>C88*310*310*6/1000/1000</f>
        <v>0</v>
      </c>
      <c r="E88" s="84">
        <f t="shared" ref="E88:J88" si="23">+$D88*E$22/$K$22</f>
        <v>0</v>
      </c>
      <c r="F88" s="84">
        <f t="shared" si="23"/>
        <v>0</v>
      </c>
      <c r="G88" s="84">
        <f>+$D88*G$22/$K$22</f>
        <v>0</v>
      </c>
      <c r="H88" s="84">
        <f t="shared" si="23"/>
        <v>0</v>
      </c>
      <c r="I88" s="84">
        <f t="shared" si="23"/>
        <v>0</v>
      </c>
      <c r="J88" s="84">
        <f t="shared" si="23"/>
        <v>0</v>
      </c>
      <c r="P88" s="32"/>
      <c r="Q88" s="37"/>
      <c r="R88" s="37"/>
      <c r="S88" s="37"/>
    </row>
    <row r="89" spans="2:19" s="83" customFormat="1" x14ac:dyDescent="0.3">
      <c r="B89" s="101" t="s">
        <v>100</v>
      </c>
      <c r="C89" s="85">
        <f>+'Notice de calcul'!P55</f>
        <v>0</v>
      </c>
      <c r="D89" s="65">
        <f>C89*500*500*6/1000/1000</f>
        <v>0</v>
      </c>
      <c r="E89" s="65">
        <f t="shared" ref="E89:J89" si="24">+$D89*E$21/$K$21</f>
        <v>0</v>
      </c>
      <c r="F89" s="65">
        <f t="shared" si="24"/>
        <v>0</v>
      </c>
      <c r="G89" s="65">
        <f t="shared" si="24"/>
        <v>0</v>
      </c>
      <c r="H89" s="65">
        <f t="shared" si="24"/>
        <v>0</v>
      </c>
      <c r="I89" s="65">
        <f t="shared" si="24"/>
        <v>0</v>
      </c>
      <c r="J89" s="65">
        <f t="shared" si="24"/>
        <v>0</v>
      </c>
      <c r="P89" s="32"/>
      <c r="Q89" s="37"/>
      <c r="R89" s="37"/>
      <c r="S89" s="37"/>
    </row>
    <row r="90" spans="2:19" s="83" customFormat="1" ht="4.5" customHeight="1" x14ac:dyDescent="0.3">
      <c r="B90" s="19"/>
      <c r="C90" s="30"/>
      <c r="E90" s="26"/>
      <c r="P90" s="32"/>
      <c r="Q90" s="37"/>
      <c r="R90" s="37"/>
      <c r="S90" s="37"/>
    </row>
    <row r="91" spans="2:19" s="83" customFormat="1" x14ac:dyDescent="0.3">
      <c r="B91" s="99" t="s">
        <v>89</v>
      </c>
      <c r="C91" s="99"/>
      <c r="E91" s="84"/>
      <c r="P91" s="32"/>
      <c r="Q91" s="37"/>
      <c r="R91" s="37"/>
      <c r="S91" s="37"/>
    </row>
    <row r="92" spans="2:19" s="83" customFormat="1" x14ac:dyDescent="0.3">
      <c r="B92" s="101" t="s">
        <v>90</v>
      </c>
      <c r="C92" s="85">
        <f>+'Notice de calcul'!P57</f>
        <v>0</v>
      </c>
      <c r="D92" s="84">
        <f>C92*1100*390*4/1000/1000</f>
        <v>0</v>
      </c>
      <c r="E92" s="84">
        <f t="shared" ref="E92:J92" si="25">+$D92*E$23/$K$23</f>
        <v>0</v>
      </c>
      <c r="F92" s="84">
        <f>+$D92*F$23/$K$23</f>
        <v>0</v>
      </c>
      <c r="G92" s="84">
        <f t="shared" si="25"/>
        <v>0</v>
      </c>
      <c r="H92" s="84">
        <f t="shared" si="25"/>
        <v>0</v>
      </c>
      <c r="I92" s="84">
        <f t="shared" si="25"/>
        <v>0</v>
      </c>
      <c r="J92" s="84">
        <f t="shared" si="25"/>
        <v>0</v>
      </c>
      <c r="P92" s="32"/>
      <c r="Q92" s="37"/>
      <c r="R92" s="37"/>
      <c r="S92" s="37"/>
    </row>
    <row r="93" spans="2:19" s="83" customFormat="1" x14ac:dyDescent="0.3">
      <c r="B93" s="101" t="s">
        <v>91</v>
      </c>
      <c r="C93" s="85">
        <f>+'Notice de calcul'!P58</f>
        <v>0</v>
      </c>
      <c r="D93" s="84">
        <f>C93*2000*390*4/1000/1000</f>
        <v>0</v>
      </c>
      <c r="E93" s="84">
        <f t="shared" ref="E93:J93" si="26">+$D93*E$24/$K$24</f>
        <v>0</v>
      </c>
      <c r="F93" s="84">
        <f>+$D93*F$24/$K$24</f>
        <v>0</v>
      </c>
      <c r="G93" s="84">
        <f t="shared" si="26"/>
        <v>0</v>
      </c>
      <c r="H93" s="84">
        <f t="shared" si="26"/>
        <v>0</v>
      </c>
      <c r="I93" s="84">
        <f t="shared" si="26"/>
        <v>0</v>
      </c>
      <c r="J93" s="84">
        <f t="shared" si="26"/>
        <v>0</v>
      </c>
      <c r="P93" s="32"/>
      <c r="Q93" s="37"/>
      <c r="R93" s="37"/>
      <c r="S93" s="37"/>
    </row>
    <row r="94" spans="2:19" s="83" customFormat="1" ht="3.75" customHeight="1" x14ac:dyDescent="0.3">
      <c r="F94" s="85"/>
      <c r="G94" s="84"/>
      <c r="H94" s="84"/>
      <c r="P94" s="32"/>
      <c r="Q94" s="37"/>
      <c r="R94" s="37"/>
      <c r="S94" s="37"/>
    </row>
    <row r="95" spans="2:19" s="83" customFormat="1" x14ac:dyDescent="0.3">
      <c r="B95" s="99" t="s">
        <v>119</v>
      </c>
      <c r="C95" s="99"/>
      <c r="E95" s="84"/>
      <c r="P95" s="32"/>
      <c r="Q95" s="37"/>
      <c r="R95" s="37"/>
      <c r="S95" s="37"/>
    </row>
    <row r="96" spans="2:19" s="83" customFormat="1" x14ac:dyDescent="0.3">
      <c r="B96" s="1" t="s">
        <v>107</v>
      </c>
      <c r="C96" s="85">
        <f>+'Notice de calcul'!E51</f>
        <v>0</v>
      </c>
      <c r="D96" s="85">
        <f>$C96*733*1426/1000/1000</f>
        <v>0</v>
      </c>
      <c r="E96" s="84">
        <f>+$D96*E$28/$K$28</f>
        <v>0</v>
      </c>
      <c r="F96" s="84">
        <f t="shared" ref="F96:J96" si="27">+$D96*F$28/$K$28</f>
        <v>0</v>
      </c>
      <c r="G96" s="84">
        <f t="shared" si="27"/>
        <v>0</v>
      </c>
      <c r="H96" s="84">
        <f t="shared" si="27"/>
        <v>0</v>
      </c>
      <c r="I96" s="84">
        <f t="shared" si="27"/>
        <v>0</v>
      </c>
      <c r="J96" s="84">
        <f t="shared" si="27"/>
        <v>0</v>
      </c>
      <c r="P96" s="32"/>
      <c r="Q96" s="37"/>
      <c r="R96" s="37"/>
      <c r="S96" s="37"/>
    </row>
    <row r="97" spans="2:19" s="83" customFormat="1" x14ac:dyDescent="0.3">
      <c r="B97" s="1" t="s">
        <v>108</v>
      </c>
      <c r="C97" s="85">
        <f>+'Notice de calcul'!E52</f>
        <v>0</v>
      </c>
      <c r="D97" s="85">
        <f>+$C97*933*1426/1000/1000</f>
        <v>0</v>
      </c>
      <c r="E97" s="84">
        <f t="shared" ref="E97:J103" si="28">+$D97*E$28/$K$28</f>
        <v>0</v>
      </c>
      <c r="F97" s="84">
        <f t="shared" si="28"/>
        <v>0</v>
      </c>
      <c r="G97" s="84">
        <f t="shared" si="28"/>
        <v>0</v>
      </c>
      <c r="H97" s="84">
        <f t="shared" si="28"/>
        <v>0</v>
      </c>
      <c r="I97" s="84">
        <f t="shared" si="28"/>
        <v>0</v>
      </c>
      <c r="J97" s="84">
        <f t="shared" si="28"/>
        <v>0</v>
      </c>
      <c r="P97" s="32"/>
      <c r="Q97" s="37"/>
      <c r="R97" s="37"/>
      <c r="S97" s="37"/>
    </row>
    <row r="98" spans="2:19" s="83" customFormat="1" x14ac:dyDescent="0.3">
      <c r="B98" s="1" t="s">
        <v>109</v>
      </c>
      <c r="C98" s="85">
        <f>+'Notice de calcul'!E53</f>
        <v>0</v>
      </c>
      <c r="D98" s="85">
        <f>+$C98*1133*1426/1000/1000</f>
        <v>0</v>
      </c>
      <c r="E98" s="84">
        <f t="shared" si="28"/>
        <v>0</v>
      </c>
      <c r="F98" s="84">
        <f t="shared" si="28"/>
        <v>0</v>
      </c>
      <c r="G98" s="84">
        <f t="shared" si="28"/>
        <v>0</v>
      </c>
      <c r="H98" s="84">
        <f t="shared" si="28"/>
        <v>0</v>
      </c>
      <c r="I98" s="84">
        <f t="shared" si="28"/>
        <v>0</v>
      </c>
      <c r="J98" s="84">
        <f t="shared" si="28"/>
        <v>0</v>
      </c>
      <c r="P98" s="32"/>
      <c r="Q98" s="37"/>
      <c r="R98" s="37"/>
      <c r="S98" s="37"/>
    </row>
    <row r="99" spans="2:19" s="83" customFormat="1" x14ac:dyDescent="0.3">
      <c r="B99" s="1" t="s">
        <v>106</v>
      </c>
      <c r="C99" s="85">
        <f>+'Notice de calcul'!E54</f>
        <v>0</v>
      </c>
      <c r="D99" s="85">
        <f>+$C99*733*1590/1000/1000</f>
        <v>0</v>
      </c>
      <c r="E99" s="84">
        <f t="shared" si="28"/>
        <v>0</v>
      </c>
      <c r="F99" s="84">
        <f t="shared" si="28"/>
        <v>0</v>
      </c>
      <c r="G99" s="84">
        <f t="shared" si="28"/>
        <v>0</v>
      </c>
      <c r="H99" s="84">
        <f t="shared" si="28"/>
        <v>0</v>
      </c>
      <c r="I99" s="84">
        <f t="shared" si="28"/>
        <v>0</v>
      </c>
      <c r="J99" s="84">
        <f t="shared" si="28"/>
        <v>0</v>
      </c>
      <c r="P99" s="32"/>
      <c r="Q99" s="37"/>
      <c r="R99" s="37"/>
      <c r="S99" s="37"/>
    </row>
    <row r="100" spans="2:19" s="83" customFormat="1" x14ac:dyDescent="0.3">
      <c r="B100" s="1" t="s">
        <v>110</v>
      </c>
      <c r="C100" s="85">
        <f>+'Notice de calcul'!E55</f>
        <v>0</v>
      </c>
      <c r="D100" s="85">
        <f>+$C100*933*1590/1000/1000</f>
        <v>0</v>
      </c>
      <c r="E100" s="84">
        <f t="shared" si="28"/>
        <v>0</v>
      </c>
      <c r="F100" s="84">
        <f t="shared" si="28"/>
        <v>0</v>
      </c>
      <c r="G100" s="84">
        <f t="shared" si="28"/>
        <v>0</v>
      </c>
      <c r="H100" s="84">
        <f t="shared" si="28"/>
        <v>0</v>
      </c>
      <c r="I100" s="84">
        <f t="shared" si="28"/>
        <v>0</v>
      </c>
      <c r="J100" s="84">
        <f t="shared" si="28"/>
        <v>0</v>
      </c>
      <c r="P100" s="32"/>
      <c r="Q100" s="37"/>
      <c r="R100" s="37"/>
      <c r="S100" s="37"/>
    </row>
    <row r="101" spans="2:19" s="83" customFormat="1" x14ac:dyDescent="0.3">
      <c r="B101" s="1" t="s">
        <v>111</v>
      </c>
      <c r="C101" s="85">
        <f>+'Notice de calcul'!E56</f>
        <v>0</v>
      </c>
      <c r="D101" s="85">
        <f>+$C101*1133*1590/1000/1000</f>
        <v>0</v>
      </c>
      <c r="E101" s="84">
        <f t="shared" si="28"/>
        <v>0</v>
      </c>
      <c r="F101" s="84">
        <f t="shared" si="28"/>
        <v>0</v>
      </c>
      <c r="G101" s="84">
        <f t="shared" si="28"/>
        <v>0</v>
      </c>
      <c r="H101" s="84">
        <f t="shared" si="28"/>
        <v>0</v>
      </c>
      <c r="I101" s="84">
        <f t="shared" si="28"/>
        <v>0</v>
      </c>
      <c r="J101" s="84">
        <f t="shared" si="28"/>
        <v>0</v>
      </c>
      <c r="P101" s="32"/>
      <c r="Q101" s="37"/>
      <c r="R101" s="37"/>
      <c r="S101" s="37"/>
    </row>
    <row r="102" spans="2:19" s="83" customFormat="1" x14ac:dyDescent="0.3">
      <c r="B102" s="1" t="s">
        <v>112</v>
      </c>
      <c r="C102" s="85">
        <f>+'Notice de calcul'!E57</f>
        <v>0</v>
      </c>
      <c r="D102" s="85">
        <f>+$C102*933*1590/1000/1000</f>
        <v>0</v>
      </c>
      <c r="E102" s="84">
        <f t="shared" si="28"/>
        <v>0</v>
      </c>
      <c r="F102" s="84">
        <f t="shared" si="28"/>
        <v>0</v>
      </c>
      <c r="G102" s="84">
        <f t="shared" si="28"/>
        <v>0</v>
      </c>
      <c r="H102" s="84">
        <f t="shared" si="28"/>
        <v>0</v>
      </c>
      <c r="I102" s="84">
        <f t="shared" si="28"/>
        <v>0</v>
      </c>
      <c r="J102" s="84">
        <f t="shared" si="28"/>
        <v>0</v>
      </c>
      <c r="P102" s="32"/>
      <c r="Q102" s="37"/>
      <c r="R102" s="37"/>
      <c r="S102" s="37"/>
    </row>
    <row r="103" spans="2:19" s="83" customFormat="1" x14ac:dyDescent="0.3">
      <c r="B103" s="1" t="s">
        <v>113</v>
      </c>
      <c r="C103" s="85">
        <f>+'Notice de calcul'!E58</f>
        <v>0</v>
      </c>
      <c r="D103" s="85">
        <f>+$C103*1133*1590/1000/1000</f>
        <v>0</v>
      </c>
      <c r="E103" s="84">
        <f>+$D103*E$28/$K$28</f>
        <v>0</v>
      </c>
      <c r="F103" s="84">
        <f t="shared" si="28"/>
        <v>0</v>
      </c>
      <c r="G103" s="84">
        <f t="shared" si="28"/>
        <v>0</v>
      </c>
      <c r="H103" s="84">
        <f t="shared" si="28"/>
        <v>0</v>
      </c>
      <c r="I103" s="84">
        <f t="shared" si="28"/>
        <v>0</v>
      </c>
      <c r="J103" s="84">
        <f t="shared" si="28"/>
        <v>0</v>
      </c>
      <c r="P103" s="32"/>
      <c r="Q103" s="37"/>
      <c r="R103" s="37"/>
      <c r="S103" s="37"/>
    </row>
    <row r="104" spans="2:19" s="83" customFormat="1" x14ac:dyDescent="0.3">
      <c r="B104" s="99" t="s">
        <v>120</v>
      </c>
      <c r="D104" s="85"/>
      <c r="E104" s="85"/>
      <c r="F104" s="85"/>
      <c r="G104" s="85"/>
      <c r="H104" s="85"/>
      <c r="I104" s="85"/>
      <c r="J104" s="85"/>
      <c r="P104" s="32"/>
      <c r="Q104" s="37"/>
      <c r="R104" s="37"/>
      <c r="S104" s="37"/>
    </row>
    <row r="105" spans="2:19" s="83" customFormat="1" x14ac:dyDescent="0.3">
      <c r="B105" s="1" t="s">
        <v>107</v>
      </c>
      <c r="C105" s="85">
        <f>+'Notice de calcul'!G51</f>
        <v>0</v>
      </c>
      <c r="D105" s="85">
        <f>+$C105*733*964/1000/1000</f>
        <v>0</v>
      </c>
      <c r="E105" s="84">
        <f>+$D105*E$29/$K$29</f>
        <v>0</v>
      </c>
      <c r="F105" s="84">
        <f t="shared" ref="F105:J112" si="29">+$D105*F$29/$K$29</f>
        <v>0</v>
      </c>
      <c r="G105" s="84">
        <f t="shared" si="29"/>
        <v>0</v>
      </c>
      <c r="H105" s="84">
        <f t="shared" si="29"/>
        <v>0</v>
      </c>
      <c r="I105" s="84">
        <f t="shared" si="29"/>
        <v>0</v>
      </c>
      <c r="J105" s="84">
        <f>+$D105*J$29/$K$29</f>
        <v>0</v>
      </c>
      <c r="P105" s="32"/>
      <c r="Q105" s="37"/>
      <c r="R105" s="37"/>
      <c r="S105" s="37"/>
    </row>
    <row r="106" spans="2:19" s="83" customFormat="1" x14ac:dyDescent="0.3">
      <c r="B106" s="1" t="s">
        <v>108</v>
      </c>
      <c r="C106" s="85">
        <f>+'Notice de calcul'!G52</f>
        <v>0</v>
      </c>
      <c r="D106" s="85">
        <f>+$C106*933*964/1000/1000</f>
        <v>0</v>
      </c>
      <c r="E106" s="84">
        <f>+$D106*E$29/$K$29</f>
        <v>0</v>
      </c>
      <c r="F106" s="84">
        <f t="shared" si="29"/>
        <v>0</v>
      </c>
      <c r="G106" s="84">
        <f t="shared" si="29"/>
        <v>0</v>
      </c>
      <c r="H106" s="84">
        <f t="shared" si="29"/>
        <v>0</v>
      </c>
      <c r="I106" s="84">
        <f t="shared" si="29"/>
        <v>0</v>
      </c>
      <c r="J106" s="84">
        <f t="shared" si="29"/>
        <v>0</v>
      </c>
      <c r="P106" s="32"/>
      <c r="Q106" s="37"/>
      <c r="R106" s="37"/>
      <c r="S106" s="37"/>
    </row>
    <row r="107" spans="2:19" s="83" customFormat="1" x14ac:dyDescent="0.3">
      <c r="B107" s="1" t="s">
        <v>109</v>
      </c>
      <c r="C107" s="85">
        <f>+'Notice de calcul'!G53</f>
        <v>0</v>
      </c>
      <c r="D107" s="85">
        <f>+$C107*1133*964/1000/1000</f>
        <v>0</v>
      </c>
      <c r="E107" s="84">
        <f t="shared" ref="E107:E112" si="30">+$D107*E$29/$K$29</f>
        <v>0</v>
      </c>
      <c r="F107" s="84">
        <f t="shared" si="29"/>
        <v>0</v>
      </c>
      <c r="G107" s="84">
        <f t="shared" si="29"/>
        <v>0</v>
      </c>
      <c r="H107" s="84">
        <f t="shared" si="29"/>
        <v>0</v>
      </c>
      <c r="I107" s="84">
        <f t="shared" si="29"/>
        <v>0</v>
      </c>
      <c r="J107" s="84">
        <f t="shared" si="29"/>
        <v>0</v>
      </c>
      <c r="P107" s="32"/>
      <c r="Q107" s="37"/>
      <c r="R107" s="37"/>
      <c r="S107" s="37"/>
    </row>
    <row r="108" spans="2:19" s="83" customFormat="1" x14ac:dyDescent="0.3">
      <c r="B108" s="1" t="s">
        <v>106</v>
      </c>
      <c r="C108" s="85">
        <f>+'Notice de calcul'!G54</f>
        <v>0</v>
      </c>
      <c r="D108" s="85">
        <f>+$C108*733*964/1000/1000</f>
        <v>0</v>
      </c>
      <c r="E108" s="84">
        <f t="shared" si="30"/>
        <v>0</v>
      </c>
      <c r="F108" s="84">
        <f t="shared" si="29"/>
        <v>0</v>
      </c>
      <c r="G108" s="84">
        <f t="shared" si="29"/>
        <v>0</v>
      </c>
      <c r="H108" s="84">
        <f t="shared" si="29"/>
        <v>0</v>
      </c>
      <c r="I108" s="84">
        <f t="shared" si="29"/>
        <v>0</v>
      </c>
      <c r="J108" s="84">
        <f t="shared" si="29"/>
        <v>0</v>
      </c>
      <c r="P108" s="32"/>
      <c r="Q108" s="37"/>
      <c r="R108" s="37"/>
      <c r="S108" s="37"/>
    </row>
    <row r="109" spans="2:19" s="83" customFormat="1" x14ac:dyDescent="0.3">
      <c r="B109" s="1" t="s">
        <v>110</v>
      </c>
      <c r="C109" s="85">
        <f>+'Notice de calcul'!G55</f>
        <v>0</v>
      </c>
      <c r="D109" s="85">
        <f>+$C109*933*964/1000/1000</f>
        <v>0</v>
      </c>
      <c r="E109" s="84">
        <f t="shared" si="30"/>
        <v>0</v>
      </c>
      <c r="F109" s="84">
        <f t="shared" si="29"/>
        <v>0</v>
      </c>
      <c r="G109" s="84">
        <f t="shared" si="29"/>
        <v>0</v>
      </c>
      <c r="H109" s="84">
        <f t="shared" si="29"/>
        <v>0</v>
      </c>
      <c r="I109" s="84">
        <f t="shared" si="29"/>
        <v>0</v>
      </c>
      <c r="J109" s="84">
        <f t="shared" si="29"/>
        <v>0</v>
      </c>
      <c r="P109" s="32"/>
      <c r="Q109" s="37"/>
      <c r="R109" s="37"/>
      <c r="S109" s="37"/>
    </row>
    <row r="110" spans="2:19" s="83" customFormat="1" x14ac:dyDescent="0.3">
      <c r="B110" s="1" t="s">
        <v>111</v>
      </c>
      <c r="C110" s="85">
        <f>+'Notice de calcul'!G56</f>
        <v>0</v>
      </c>
      <c r="D110" s="85">
        <f>+$C110*1133*964/1000/1000</f>
        <v>0</v>
      </c>
      <c r="E110" s="84">
        <f t="shared" si="30"/>
        <v>0</v>
      </c>
      <c r="F110" s="84">
        <f t="shared" si="29"/>
        <v>0</v>
      </c>
      <c r="G110" s="84">
        <f t="shared" si="29"/>
        <v>0</v>
      </c>
      <c r="H110" s="84">
        <f t="shared" si="29"/>
        <v>0</v>
      </c>
      <c r="I110" s="84">
        <f t="shared" si="29"/>
        <v>0</v>
      </c>
      <c r="J110" s="84">
        <f t="shared" si="29"/>
        <v>0</v>
      </c>
      <c r="P110" s="32"/>
      <c r="Q110" s="37"/>
      <c r="R110" s="37"/>
      <c r="S110" s="37"/>
    </row>
    <row r="111" spans="2:19" s="83" customFormat="1" x14ac:dyDescent="0.3">
      <c r="B111" s="1" t="s">
        <v>112</v>
      </c>
      <c r="C111" s="85">
        <f>+'Notice de calcul'!G57</f>
        <v>0</v>
      </c>
      <c r="D111" s="85">
        <f>+$C111*933*964/1000/1000</f>
        <v>0</v>
      </c>
      <c r="E111" s="84">
        <f t="shared" si="30"/>
        <v>0</v>
      </c>
      <c r="F111" s="84">
        <f t="shared" si="29"/>
        <v>0</v>
      </c>
      <c r="G111" s="84">
        <f t="shared" si="29"/>
        <v>0</v>
      </c>
      <c r="H111" s="84">
        <f t="shared" si="29"/>
        <v>0</v>
      </c>
      <c r="I111" s="84">
        <f t="shared" si="29"/>
        <v>0</v>
      </c>
      <c r="J111" s="84">
        <f t="shared" si="29"/>
        <v>0</v>
      </c>
      <c r="P111" s="32"/>
      <c r="Q111" s="37"/>
      <c r="R111" s="37"/>
      <c r="S111" s="37"/>
    </row>
    <row r="112" spans="2:19" s="83" customFormat="1" x14ac:dyDescent="0.3">
      <c r="B112" s="1" t="s">
        <v>113</v>
      </c>
      <c r="C112" s="85">
        <f>+'Notice de calcul'!G58</f>
        <v>0</v>
      </c>
      <c r="D112" s="85">
        <f>+$C112*1133*964/1000/1000</f>
        <v>0</v>
      </c>
      <c r="E112" s="84">
        <f t="shared" si="30"/>
        <v>0</v>
      </c>
      <c r="F112" s="84">
        <f t="shared" si="29"/>
        <v>0</v>
      </c>
      <c r="G112" s="84">
        <f t="shared" si="29"/>
        <v>0</v>
      </c>
      <c r="H112" s="84">
        <f t="shared" si="29"/>
        <v>0</v>
      </c>
      <c r="I112" s="84">
        <f t="shared" si="29"/>
        <v>0</v>
      </c>
      <c r="J112" s="84">
        <f t="shared" si="29"/>
        <v>0</v>
      </c>
      <c r="P112" s="32"/>
      <c r="Q112" s="37"/>
      <c r="R112" s="37"/>
      <c r="S112" s="37"/>
    </row>
    <row r="113" spans="2:19" s="83" customFormat="1" x14ac:dyDescent="0.3">
      <c r="B113" s="109" t="s">
        <v>205</v>
      </c>
      <c r="C113" s="85"/>
      <c r="D113" s="85"/>
      <c r="E113" s="84"/>
      <c r="F113" s="84"/>
      <c r="G113" s="84"/>
      <c r="H113" s="84"/>
      <c r="I113" s="84"/>
      <c r="J113" s="84"/>
      <c r="P113" s="32"/>
      <c r="Q113" s="37"/>
      <c r="R113" s="37"/>
      <c r="S113" s="37"/>
    </row>
    <row r="114" spans="2:19" s="83" customFormat="1" x14ac:dyDescent="0.3">
      <c r="B114" s="108" t="s">
        <v>194</v>
      </c>
      <c r="C114" s="85">
        <f>+'Notice de calcul'!E60</f>
        <v>0</v>
      </c>
      <c r="D114" s="85">
        <f>+$C114*395*700/1000/1000</f>
        <v>0</v>
      </c>
      <c r="E114" s="84">
        <f>+$D114*E$28/$K$28</f>
        <v>0</v>
      </c>
      <c r="F114" s="84">
        <f t="shared" ref="F114:J121" si="31">+$D114*F$28/$K$28</f>
        <v>0</v>
      </c>
      <c r="G114" s="84">
        <f t="shared" si="31"/>
        <v>0</v>
      </c>
      <c r="H114" s="84">
        <f t="shared" si="31"/>
        <v>0</v>
      </c>
      <c r="I114" s="84">
        <f t="shared" si="31"/>
        <v>0</v>
      </c>
      <c r="J114" s="84">
        <f t="shared" si="31"/>
        <v>0</v>
      </c>
      <c r="P114" s="32"/>
      <c r="Q114" s="37"/>
      <c r="R114" s="37"/>
      <c r="S114" s="37"/>
    </row>
    <row r="115" spans="2:19" s="83" customFormat="1" x14ac:dyDescent="0.3">
      <c r="B115" s="108" t="s">
        <v>195</v>
      </c>
      <c r="C115" s="85">
        <f>+'Notice de calcul'!E61</f>
        <v>0</v>
      </c>
      <c r="D115" s="85">
        <f>+$C115*395*1166/1000/1000</f>
        <v>0</v>
      </c>
      <c r="E115" s="84">
        <f t="shared" ref="E115:E121" si="32">+$D115*E$28/$K$28</f>
        <v>0</v>
      </c>
      <c r="F115" s="84">
        <f t="shared" si="31"/>
        <v>0</v>
      </c>
      <c r="G115" s="84">
        <f t="shared" si="31"/>
        <v>0</v>
      </c>
      <c r="H115" s="84">
        <f t="shared" si="31"/>
        <v>0</v>
      </c>
      <c r="I115" s="84">
        <f t="shared" si="31"/>
        <v>0</v>
      </c>
      <c r="J115" s="84">
        <f t="shared" si="31"/>
        <v>0</v>
      </c>
      <c r="P115" s="32"/>
      <c r="Q115" s="37"/>
      <c r="R115" s="37"/>
      <c r="S115" s="37"/>
    </row>
    <row r="116" spans="2:19" s="83" customFormat="1" x14ac:dyDescent="0.3">
      <c r="B116" s="108" t="s">
        <v>196</v>
      </c>
      <c r="C116" s="85">
        <f>+'Notice de calcul'!E62</f>
        <v>0</v>
      </c>
      <c r="D116" s="85">
        <f>+$C116*395*1366/1000/1000</f>
        <v>0</v>
      </c>
      <c r="E116" s="84">
        <f t="shared" si="32"/>
        <v>0</v>
      </c>
      <c r="F116" s="84">
        <f t="shared" si="31"/>
        <v>0</v>
      </c>
      <c r="G116" s="84">
        <f t="shared" si="31"/>
        <v>0</v>
      </c>
      <c r="H116" s="84">
        <f t="shared" si="31"/>
        <v>0</v>
      </c>
      <c r="I116" s="84">
        <f t="shared" si="31"/>
        <v>0</v>
      </c>
      <c r="J116" s="84">
        <f t="shared" si="31"/>
        <v>0</v>
      </c>
      <c r="P116" s="32"/>
      <c r="Q116" s="37"/>
      <c r="R116" s="37"/>
      <c r="S116" s="37"/>
    </row>
    <row r="117" spans="2:19" s="83" customFormat="1" x14ac:dyDescent="0.3">
      <c r="B117" s="108" t="s">
        <v>197</v>
      </c>
      <c r="C117" s="85">
        <f>+'Notice de calcul'!E63</f>
        <v>0</v>
      </c>
      <c r="D117" s="85">
        <f>+$C117*395*1566/1000/1000</f>
        <v>0</v>
      </c>
      <c r="E117" s="84">
        <f t="shared" si="32"/>
        <v>0</v>
      </c>
      <c r="F117" s="84">
        <f t="shared" si="31"/>
        <v>0</v>
      </c>
      <c r="G117" s="84">
        <f t="shared" si="31"/>
        <v>0</v>
      </c>
      <c r="H117" s="84">
        <f t="shared" si="31"/>
        <v>0</v>
      </c>
      <c r="I117" s="84">
        <f t="shared" si="31"/>
        <v>0</v>
      </c>
      <c r="J117" s="84">
        <f t="shared" si="31"/>
        <v>0</v>
      </c>
      <c r="P117" s="32"/>
      <c r="Q117" s="37"/>
      <c r="R117" s="37"/>
      <c r="S117" s="37"/>
    </row>
    <row r="118" spans="2:19" s="83" customFormat="1" x14ac:dyDescent="0.3">
      <c r="B118" s="108" t="s">
        <v>198</v>
      </c>
      <c r="C118" s="85">
        <f>+'Notice de calcul'!E64</f>
        <v>0</v>
      </c>
      <c r="D118" s="85">
        <f>+$C118*495*700/1000/1000</f>
        <v>0</v>
      </c>
      <c r="E118" s="84">
        <f t="shared" si="32"/>
        <v>0</v>
      </c>
      <c r="F118" s="84">
        <f t="shared" si="31"/>
        <v>0</v>
      </c>
      <c r="G118" s="84">
        <f t="shared" si="31"/>
        <v>0</v>
      </c>
      <c r="H118" s="84">
        <f t="shared" si="31"/>
        <v>0</v>
      </c>
      <c r="I118" s="84">
        <f t="shared" si="31"/>
        <v>0</v>
      </c>
      <c r="J118" s="84">
        <f t="shared" si="31"/>
        <v>0</v>
      </c>
      <c r="P118" s="32"/>
      <c r="Q118" s="37"/>
      <c r="R118" s="37"/>
      <c r="S118" s="37"/>
    </row>
    <row r="119" spans="2:19" s="83" customFormat="1" x14ac:dyDescent="0.3">
      <c r="B119" s="108" t="s">
        <v>199</v>
      </c>
      <c r="C119" s="85">
        <f>+'Notice de calcul'!E65</f>
        <v>0</v>
      </c>
      <c r="D119" s="85">
        <f>+$C119*495*1166/1000/1000</f>
        <v>0</v>
      </c>
      <c r="E119" s="84">
        <f t="shared" si="32"/>
        <v>0</v>
      </c>
      <c r="F119" s="84">
        <f t="shared" si="31"/>
        <v>0</v>
      </c>
      <c r="G119" s="84">
        <f t="shared" si="31"/>
        <v>0</v>
      </c>
      <c r="H119" s="84">
        <f t="shared" si="31"/>
        <v>0</v>
      </c>
      <c r="I119" s="84">
        <f t="shared" si="31"/>
        <v>0</v>
      </c>
      <c r="J119" s="84">
        <f t="shared" si="31"/>
        <v>0</v>
      </c>
      <c r="P119" s="32"/>
      <c r="Q119" s="37"/>
      <c r="R119" s="37"/>
      <c r="S119" s="37"/>
    </row>
    <row r="120" spans="2:19" s="83" customFormat="1" x14ac:dyDescent="0.3">
      <c r="B120" s="108" t="s">
        <v>200</v>
      </c>
      <c r="C120" s="85">
        <f>+'Notice de calcul'!E66</f>
        <v>0</v>
      </c>
      <c r="D120" s="85">
        <f>+$C120*495*1366/1000/1000</f>
        <v>0</v>
      </c>
      <c r="E120" s="84">
        <f t="shared" si="32"/>
        <v>0</v>
      </c>
      <c r="F120" s="84">
        <f t="shared" si="31"/>
        <v>0</v>
      </c>
      <c r="G120" s="84">
        <f t="shared" si="31"/>
        <v>0</v>
      </c>
      <c r="H120" s="84">
        <f t="shared" si="31"/>
        <v>0</v>
      </c>
      <c r="I120" s="84">
        <f t="shared" si="31"/>
        <v>0</v>
      </c>
      <c r="J120" s="84">
        <f t="shared" si="31"/>
        <v>0</v>
      </c>
      <c r="P120" s="32"/>
      <c r="Q120" s="37"/>
      <c r="R120" s="37"/>
      <c r="S120" s="37"/>
    </row>
    <row r="121" spans="2:19" s="83" customFormat="1" x14ac:dyDescent="0.3">
      <c r="B121" s="108" t="s">
        <v>201</v>
      </c>
      <c r="C121" s="85">
        <f>+'Notice de calcul'!E67</f>
        <v>0</v>
      </c>
      <c r="D121" s="85">
        <f>+$C121*495*1566/1000/1000</f>
        <v>0</v>
      </c>
      <c r="E121" s="84">
        <f t="shared" si="32"/>
        <v>0</v>
      </c>
      <c r="F121" s="84">
        <f t="shared" si="31"/>
        <v>0</v>
      </c>
      <c r="G121" s="84">
        <f t="shared" si="31"/>
        <v>0</v>
      </c>
      <c r="H121" s="84">
        <f t="shared" si="31"/>
        <v>0</v>
      </c>
      <c r="I121" s="84">
        <f t="shared" si="31"/>
        <v>0</v>
      </c>
      <c r="J121" s="84">
        <f t="shared" si="31"/>
        <v>0</v>
      </c>
      <c r="P121" s="32"/>
      <c r="Q121" s="37"/>
      <c r="R121" s="37"/>
      <c r="S121" s="37"/>
    </row>
    <row r="122" spans="2:19" s="83" customFormat="1" hidden="1" x14ac:dyDescent="0.3">
      <c r="B122" s="1"/>
      <c r="C122" s="85"/>
      <c r="D122" s="85"/>
      <c r="E122" s="84"/>
      <c r="F122" s="84"/>
      <c r="G122" s="84"/>
      <c r="H122" s="84"/>
      <c r="I122" s="84"/>
      <c r="J122" s="84"/>
      <c r="P122" s="32"/>
      <c r="Q122" s="37"/>
      <c r="R122" s="37"/>
      <c r="S122" s="37"/>
    </row>
    <row r="123" spans="2:19" s="83" customFormat="1" hidden="1" x14ac:dyDescent="0.3">
      <c r="B123" s="1"/>
      <c r="C123" s="85"/>
      <c r="D123" s="85"/>
      <c r="E123" s="84"/>
      <c r="F123" s="84"/>
      <c r="G123" s="84"/>
      <c r="H123" s="84"/>
      <c r="I123" s="84"/>
      <c r="J123" s="84"/>
      <c r="P123" s="32"/>
      <c r="Q123" s="37"/>
      <c r="R123" s="37"/>
      <c r="S123" s="37"/>
    </row>
    <row r="124" spans="2:19" s="83" customFormat="1" hidden="1" x14ac:dyDescent="0.3">
      <c r="B124" s="1"/>
      <c r="C124" s="85"/>
      <c r="D124" s="85"/>
      <c r="E124" s="84"/>
      <c r="F124" s="84"/>
      <c r="G124" s="84"/>
      <c r="H124" s="84"/>
      <c r="I124" s="84"/>
      <c r="J124" s="84"/>
      <c r="P124" s="32"/>
      <c r="Q124" s="37"/>
      <c r="R124" s="37"/>
      <c r="S124" s="37"/>
    </row>
    <row r="125" spans="2:19" s="83" customFormat="1" hidden="1" x14ac:dyDescent="0.3">
      <c r="B125" s="1"/>
      <c r="C125" s="85"/>
      <c r="D125" s="85"/>
      <c r="E125" s="84"/>
      <c r="F125" s="84"/>
      <c r="G125" s="84"/>
      <c r="H125" s="84"/>
      <c r="I125" s="84"/>
      <c r="J125" s="84"/>
      <c r="P125" s="32"/>
      <c r="Q125" s="37"/>
      <c r="R125" s="37"/>
      <c r="S125" s="37"/>
    </row>
    <row r="126" spans="2:19" s="83" customFormat="1" hidden="1" x14ac:dyDescent="0.3">
      <c r="B126" s="1"/>
      <c r="C126" s="85"/>
      <c r="D126" s="85"/>
      <c r="E126" s="84"/>
      <c r="F126" s="84"/>
      <c r="G126" s="84"/>
      <c r="H126" s="84"/>
      <c r="I126" s="84"/>
      <c r="J126" s="84"/>
      <c r="P126" s="32"/>
      <c r="Q126" s="37"/>
      <c r="R126" s="37"/>
      <c r="S126" s="37"/>
    </row>
    <row r="127" spans="2:19" s="83" customFormat="1" x14ac:dyDescent="0.3">
      <c r="B127" s="99" t="s">
        <v>135</v>
      </c>
      <c r="C127" s="99"/>
      <c r="E127" s="103"/>
      <c r="F127" s="103"/>
      <c r="G127" s="103"/>
      <c r="H127" s="103"/>
      <c r="I127" s="103"/>
      <c r="J127" s="103"/>
      <c r="P127" s="32"/>
      <c r="Q127" s="37"/>
      <c r="R127" s="37"/>
      <c r="S127" s="37"/>
    </row>
    <row r="128" spans="2:19" s="83" customFormat="1" x14ac:dyDescent="0.3">
      <c r="B128" s="101" t="s">
        <v>126</v>
      </c>
      <c r="C128" s="85">
        <f>+'Notice de calcul'!U51</f>
        <v>0</v>
      </c>
      <c r="D128" s="84">
        <f>C128*780*780/1000/1000</f>
        <v>0</v>
      </c>
      <c r="E128" s="84">
        <f>+$D128*E$19/$K$19</f>
        <v>0</v>
      </c>
      <c r="F128" s="84">
        <f t="shared" ref="F128:J133" si="33">+$D128*F$19/$K$19</f>
        <v>0</v>
      </c>
      <c r="G128" s="84">
        <f t="shared" si="33"/>
        <v>0</v>
      </c>
      <c r="H128" s="84">
        <f t="shared" si="33"/>
        <v>0</v>
      </c>
      <c r="I128" s="84">
        <f t="shared" si="33"/>
        <v>0</v>
      </c>
      <c r="J128" s="84">
        <f t="shared" si="33"/>
        <v>0</v>
      </c>
      <c r="P128" s="32"/>
      <c r="Q128" s="37"/>
      <c r="R128" s="37"/>
      <c r="S128" s="37"/>
    </row>
    <row r="129" spans="2:19" s="83" customFormat="1" x14ac:dyDescent="0.3">
      <c r="B129" s="101" t="s">
        <v>128</v>
      </c>
      <c r="C129" s="85">
        <f>+'Notice de calcul'!U52</f>
        <v>0</v>
      </c>
      <c r="D129" s="84">
        <f>C129*580*1160/1000/1000</f>
        <v>0</v>
      </c>
      <c r="E129" s="84">
        <f t="shared" ref="E129:E133" si="34">+$D129*E$19/$K$19</f>
        <v>0</v>
      </c>
      <c r="F129" s="84">
        <f t="shared" si="33"/>
        <v>0</v>
      </c>
      <c r="G129" s="84">
        <f t="shared" si="33"/>
        <v>0</v>
      </c>
      <c r="H129" s="84">
        <f t="shared" si="33"/>
        <v>0</v>
      </c>
      <c r="I129" s="84">
        <f t="shared" si="33"/>
        <v>0</v>
      </c>
      <c r="J129" s="84">
        <f t="shared" si="33"/>
        <v>0</v>
      </c>
      <c r="P129" s="32"/>
      <c r="Q129" s="37"/>
      <c r="R129" s="37"/>
      <c r="S129" s="37"/>
    </row>
    <row r="130" spans="2:19" s="83" customFormat="1" x14ac:dyDescent="0.3">
      <c r="B130" s="101" t="s">
        <v>129</v>
      </c>
      <c r="C130" s="85">
        <f>+'Notice de calcul'!U53</f>
        <v>0</v>
      </c>
      <c r="D130" s="84">
        <f>C130*800*1600/1000/1000</f>
        <v>0</v>
      </c>
      <c r="E130" s="84">
        <f t="shared" si="34"/>
        <v>0</v>
      </c>
      <c r="F130" s="84">
        <f t="shared" si="33"/>
        <v>0</v>
      </c>
      <c r="G130" s="84">
        <f t="shared" si="33"/>
        <v>0</v>
      </c>
      <c r="H130" s="84">
        <f t="shared" si="33"/>
        <v>0</v>
      </c>
      <c r="I130" s="84">
        <f t="shared" si="33"/>
        <v>0</v>
      </c>
      <c r="J130" s="84">
        <f t="shared" si="33"/>
        <v>0</v>
      </c>
      <c r="P130" s="32"/>
      <c r="Q130" s="37"/>
      <c r="R130" s="37"/>
      <c r="S130" s="37"/>
    </row>
    <row r="131" spans="2:19" s="83" customFormat="1" x14ac:dyDescent="0.3">
      <c r="B131" s="101" t="s">
        <v>130</v>
      </c>
      <c r="C131" s="85">
        <f>+'Notice de calcul'!Z51</f>
        <v>0</v>
      </c>
      <c r="D131" s="84">
        <f>C131*900*1160/1000/1000</f>
        <v>0</v>
      </c>
      <c r="E131" s="84">
        <f t="shared" si="34"/>
        <v>0</v>
      </c>
      <c r="F131" s="84">
        <f t="shared" si="33"/>
        <v>0</v>
      </c>
      <c r="G131" s="84">
        <f t="shared" si="33"/>
        <v>0</v>
      </c>
      <c r="H131" s="84">
        <f t="shared" si="33"/>
        <v>0</v>
      </c>
      <c r="I131" s="84">
        <f t="shared" si="33"/>
        <v>0</v>
      </c>
      <c r="J131" s="84">
        <f t="shared" si="33"/>
        <v>0</v>
      </c>
      <c r="P131" s="32"/>
      <c r="Q131" s="37"/>
      <c r="R131" s="37"/>
      <c r="S131" s="37"/>
    </row>
    <row r="132" spans="2:19" s="83" customFormat="1" x14ac:dyDescent="0.3">
      <c r="B132" s="101" t="s">
        <v>131</v>
      </c>
      <c r="C132" s="85">
        <f>+'Notice de calcul'!Z52</f>
        <v>0</v>
      </c>
      <c r="D132" s="84">
        <f>C132*1160*1160/1000/1000</f>
        <v>0</v>
      </c>
      <c r="E132" s="84">
        <f t="shared" si="34"/>
        <v>0</v>
      </c>
      <c r="F132" s="84">
        <f t="shared" si="33"/>
        <v>0</v>
      </c>
      <c r="G132" s="84">
        <f t="shared" si="33"/>
        <v>0</v>
      </c>
      <c r="H132" s="84">
        <f t="shared" si="33"/>
        <v>0</v>
      </c>
      <c r="I132" s="84">
        <f t="shared" si="33"/>
        <v>0</v>
      </c>
      <c r="J132" s="84">
        <f t="shared" si="33"/>
        <v>0</v>
      </c>
      <c r="P132" s="32"/>
      <c r="Q132" s="37"/>
      <c r="R132" s="37"/>
      <c r="S132" s="37"/>
    </row>
    <row r="133" spans="2:19" s="83" customFormat="1" x14ac:dyDescent="0.3">
      <c r="B133" s="101" t="s">
        <v>127</v>
      </c>
      <c r="C133" s="85">
        <f>+'Notice de calcul'!Z53</f>
        <v>0</v>
      </c>
      <c r="D133" s="84">
        <f>C133*1160*1600/1000/1000</f>
        <v>0</v>
      </c>
      <c r="E133" s="84">
        <f t="shared" si="34"/>
        <v>0</v>
      </c>
      <c r="F133" s="84">
        <f t="shared" si="33"/>
        <v>0</v>
      </c>
      <c r="G133" s="84">
        <f t="shared" si="33"/>
        <v>0</v>
      </c>
      <c r="H133" s="84">
        <f t="shared" si="33"/>
        <v>0</v>
      </c>
      <c r="I133" s="84">
        <f t="shared" si="33"/>
        <v>0</v>
      </c>
      <c r="J133" s="84">
        <f t="shared" si="33"/>
        <v>0</v>
      </c>
      <c r="P133" s="32"/>
      <c r="Q133" s="37"/>
      <c r="R133" s="37"/>
      <c r="S133" s="37"/>
    </row>
    <row r="134" spans="2:19" s="83" customFormat="1" x14ac:dyDescent="0.3">
      <c r="B134" s="109" t="s">
        <v>136</v>
      </c>
      <c r="C134" s="99"/>
      <c r="D134" s="85"/>
      <c r="E134" s="84"/>
      <c r="F134" s="84"/>
      <c r="G134" s="84"/>
      <c r="H134" s="84"/>
      <c r="I134" s="84"/>
      <c r="J134" s="84"/>
      <c r="P134" s="32"/>
      <c r="Q134" s="37"/>
      <c r="R134" s="37"/>
      <c r="S134" s="37"/>
    </row>
    <row r="135" spans="2:19" s="83" customFormat="1" x14ac:dyDescent="0.3">
      <c r="B135" s="101" t="s">
        <v>126</v>
      </c>
      <c r="C135" s="85">
        <f>+'Notice de calcul'!V51</f>
        <v>0</v>
      </c>
      <c r="D135" s="84">
        <f>C135*780*780/1000/1000</f>
        <v>0</v>
      </c>
      <c r="E135" s="84">
        <f>+$D135*E$20/$K$20</f>
        <v>0</v>
      </c>
      <c r="F135" s="84">
        <f t="shared" ref="F135:J140" si="35">+$D135*F$20/$K$20</f>
        <v>0</v>
      </c>
      <c r="G135" s="84">
        <f t="shared" si="35"/>
        <v>0</v>
      </c>
      <c r="H135" s="84">
        <f t="shared" si="35"/>
        <v>0</v>
      </c>
      <c r="I135" s="84">
        <f t="shared" si="35"/>
        <v>0</v>
      </c>
      <c r="J135" s="84">
        <f t="shared" si="35"/>
        <v>0</v>
      </c>
      <c r="P135" s="32"/>
      <c r="Q135" s="37"/>
      <c r="R135" s="37"/>
      <c r="S135" s="37"/>
    </row>
    <row r="136" spans="2:19" s="83" customFormat="1" x14ac:dyDescent="0.3">
      <c r="B136" s="101" t="s">
        <v>128</v>
      </c>
      <c r="C136" s="85">
        <f>+'Notice de calcul'!V52</f>
        <v>0</v>
      </c>
      <c r="D136" s="84">
        <f>C136*580*1160/1000/1000</f>
        <v>0</v>
      </c>
      <c r="E136" s="84">
        <f t="shared" ref="E136:E140" si="36">+$D136*E$20/$K$20</f>
        <v>0</v>
      </c>
      <c r="F136" s="84">
        <f t="shared" si="35"/>
        <v>0</v>
      </c>
      <c r="G136" s="84">
        <f t="shared" si="35"/>
        <v>0</v>
      </c>
      <c r="H136" s="84">
        <f t="shared" si="35"/>
        <v>0</v>
      </c>
      <c r="I136" s="84">
        <f t="shared" si="35"/>
        <v>0</v>
      </c>
      <c r="J136" s="84">
        <f t="shared" si="35"/>
        <v>0</v>
      </c>
      <c r="P136" s="32"/>
      <c r="Q136" s="37"/>
      <c r="R136" s="37"/>
      <c r="S136" s="37"/>
    </row>
    <row r="137" spans="2:19" s="83" customFormat="1" x14ac:dyDescent="0.3">
      <c r="B137" s="101" t="s">
        <v>129</v>
      </c>
      <c r="C137" s="85">
        <f>+'Notice de calcul'!V53</f>
        <v>0</v>
      </c>
      <c r="D137" s="84">
        <f>C137*800*1600/1000/1000</f>
        <v>0</v>
      </c>
      <c r="E137" s="84">
        <f t="shared" si="36"/>
        <v>0</v>
      </c>
      <c r="F137" s="84">
        <f t="shared" si="35"/>
        <v>0</v>
      </c>
      <c r="G137" s="84">
        <f t="shared" si="35"/>
        <v>0</v>
      </c>
      <c r="H137" s="84">
        <f t="shared" si="35"/>
        <v>0</v>
      </c>
      <c r="I137" s="84">
        <f t="shared" si="35"/>
        <v>0</v>
      </c>
      <c r="J137" s="84">
        <f t="shared" si="35"/>
        <v>0</v>
      </c>
      <c r="P137" s="32"/>
      <c r="Q137" s="37"/>
      <c r="R137" s="37"/>
      <c r="S137" s="37"/>
    </row>
    <row r="138" spans="2:19" s="83" customFormat="1" x14ac:dyDescent="0.3">
      <c r="B138" s="101" t="s">
        <v>130</v>
      </c>
      <c r="C138" s="85">
        <f>+'Notice de calcul'!AA51</f>
        <v>0</v>
      </c>
      <c r="D138" s="84">
        <f>C138*900*1160/1000/1000</f>
        <v>0</v>
      </c>
      <c r="E138" s="84">
        <f>+$D138*E$20/$K$20</f>
        <v>0</v>
      </c>
      <c r="F138" s="84">
        <f t="shared" si="35"/>
        <v>0</v>
      </c>
      <c r="G138" s="84">
        <f t="shared" si="35"/>
        <v>0</v>
      </c>
      <c r="H138" s="84">
        <f t="shared" si="35"/>
        <v>0</v>
      </c>
      <c r="I138" s="84">
        <f t="shared" si="35"/>
        <v>0</v>
      </c>
      <c r="J138" s="84">
        <f t="shared" si="35"/>
        <v>0</v>
      </c>
      <c r="P138" s="32"/>
      <c r="Q138" s="37"/>
      <c r="R138" s="37"/>
      <c r="S138" s="37"/>
    </row>
    <row r="139" spans="2:19" s="83" customFormat="1" x14ac:dyDescent="0.3">
      <c r="B139" s="101" t="s">
        <v>131</v>
      </c>
      <c r="C139" s="85">
        <f>+'Notice de calcul'!AA52</f>
        <v>0</v>
      </c>
      <c r="D139" s="84">
        <f>C139*1160*1160/1000/1000</f>
        <v>0</v>
      </c>
      <c r="E139" s="84">
        <f t="shared" si="36"/>
        <v>0</v>
      </c>
      <c r="F139" s="84">
        <f t="shared" si="35"/>
        <v>0</v>
      </c>
      <c r="G139" s="84">
        <f t="shared" si="35"/>
        <v>0</v>
      </c>
      <c r="H139" s="84">
        <f t="shared" si="35"/>
        <v>0</v>
      </c>
      <c r="I139" s="84">
        <f t="shared" si="35"/>
        <v>0</v>
      </c>
      <c r="J139" s="84">
        <f t="shared" si="35"/>
        <v>0</v>
      </c>
      <c r="P139" s="32"/>
      <c r="Q139" s="37"/>
      <c r="R139" s="37"/>
      <c r="S139" s="37"/>
    </row>
    <row r="140" spans="2:19" s="83" customFormat="1" x14ac:dyDescent="0.3">
      <c r="B140" s="101" t="s">
        <v>127</v>
      </c>
      <c r="C140" s="85">
        <f>+'Notice de calcul'!AA53</f>
        <v>0</v>
      </c>
      <c r="D140" s="84">
        <f>C140*1160*1600/1000/1000</f>
        <v>0</v>
      </c>
      <c r="E140" s="84">
        <f t="shared" si="36"/>
        <v>0</v>
      </c>
      <c r="F140" s="84">
        <f t="shared" si="35"/>
        <v>0</v>
      </c>
      <c r="G140" s="84">
        <f t="shared" si="35"/>
        <v>0</v>
      </c>
      <c r="H140" s="84">
        <f t="shared" si="35"/>
        <v>0</v>
      </c>
      <c r="I140" s="84">
        <f t="shared" si="35"/>
        <v>0</v>
      </c>
      <c r="J140" s="84">
        <f t="shared" si="35"/>
        <v>0</v>
      </c>
      <c r="P140" s="32"/>
      <c r="Q140" s="37"/>
      <c r="R140" s="37"/>
      <c r="S140" s="37"/>
    </row>
    <row r="141" spans="2:19" s="83" customFormat="1" x14ac:dyDescent="0.3">
      <c r="B141" s="109" t="s">
        <v>137</v>
      </c>
      <c r="C141" s="99"/>
      <c r="D141" s="85"/>
      <c r="E141" s="84"/>
      <c r="F141" s="84"/>
      <c r="G141" s="84"/>
      <c r="H141" s="84"/>
      <c r="I141" s="84"/>
      <c r="J141" s="84"/>
      <c r="P141" s="32"/>
      <c r="Q141" s="37"/>
      <c r="R141" s="37"/>
      <c r="S141" s="37"/>
    </row>
    <row r="142" spans="2:19" s="83" customFormat="1" x14ac:dyDescent="0.3">
      <c r="B142" s="20">
        <v>600</v>
      </c>
      <c r="C142" s="85">
        <f>+'Notice de calcul'!P50</f>
        <v>0</v>
      </c>
      <c r="D142" s="84">
        <f>C142*3.141592653*300*300/1000/1000</f>
        <v>0</v>
      </c>
      <c r="E142" s="84">
        <f>+$D142*E$18/$K$18</f>
        <v>0</v>
      </c>
      <c r="F142" s="84">
        <f t="shared" ref="F142:J144" si="37">+$D142*F$18/$K$18</f>
        <v>0</v>
      </c>
      <c r="G142" s="84">
        <f t="shared" si="37"/>
        <v>0</v>
      </c>
      <c r="H142" s="84">
        <f t="shared" si="37"/>
        <v>0</v>
      </c>
      <c r="I142" s="84">
        <f t="shared" si="37"/>
        <v>0</v>
      </c>
      <c r="J142" s="84">
        <f t="shared" si="37"/>
        <v>0</v>
      </c>
      <c r="P142" s="32"/>
      <c r="Q142" s="37"/>
      <c r="R142" s="37"/>
      <c r="S142" s="37"/>
    </row>
    <row r="143" spans="2:19" s="83" customFormat="1" x14ac:dyDescent="0.3">
      <c r="B143" s="20">
        <v>800</v>
      </c>
      <c r="C143" s="85">
        <f>+'Notice de calcul'!P51</f>
        <v>0</v>
      </c>
      <c r="D143" s="84">
        <f>C143*3.141592653*400*400/1000/1000</f>
        <v>0</v>
      </c>
      <c r="E143" s="84">
        <f>+$D143*E$18/$K$18</f>
        <v>0</v>
      </c>
      <c r="F143" s="84">
        <f t="shared" si="37"/>
        <v>0</v>
      </c>
      <c r="G143" s="84">
        <f t="shared" si="37"/>
        <v>0</v>
      </c>
      <c r="H143" s="84">
        <f t="shared" si="37"/>
        <v>0</v>
      </c>
      <c r="I143" s="84">
        <f t="shared" si="37"/>
        <v>0</v>
      </c>
      <c r="J143" s="84">
        <f t="shared" si="37"/>
        <v>0</v>
      </c>
      <c r="P143" s="32"/>
      <c r="Q143" s="37"/>
      <c r="R143" s="37"/>
      <c r="S143" s="37"/>
    </row>
    <row r="144" spans="2:19" s="83" customFormat="1" x14ac:dyDescent="0.3">
      <c r="B144" s="20">
        <v>1200</v>
      </c>
      <c r="C144" s="85">
        <f>+'Notice de calcul'!P52</f>
        <v>0</v>
      </c>
      <c r="D144" s="84">
        <f>C144*3.141592653*600*600/1000/1000</f>
        <v>0</v>
      </c>
      <c r="E144" s="84">
        <f t="shared" ref="E144" si="38">+$D144*E$18/$K$18</f>
        <v>0</v>
      </c>
      <c r="F144" s="84">
        <f t="shared" si="37"/>
        <v>0</v>
      </c>
      <c r="G144" s="84">
        <f t="shared" si="37"/>
        <v>0</v>
      </c>
      <c r="H144" s="84">
        <f t="shared" si="37"/>
        <v>0</v>
      </c>
      <c r="I144" s="84">
        <f t="shared" si="37"/>
        <v>0</v>
      </c>
      <c r="J144" s="84">
        <f t="shared" si="37"/>
        <v>0</v>
      </c>
      <c r="P144" s="32"/>
      <c r="Q144" s="37"/>
      <c r="R144" s="37"/>
      <c r="S144" s="37"/>
    </row>
    <row r="145" spans="1:19" s="83" customFormat="1" x14ac:dyDescent="0.3">
      <c r="B145" s="109" t="s">
        <v>138</v>
      </c>
      <c r="C145" s="99"/>
      <c r="D145" s="85"/>
      <c r="E145" s="84"/>
      <c r="F145" s="84"/>
      <c r="G145" s="84"/>
      <c r="H145" s="84"/>
      <c r="I145" s="84"/>
      <c r="J145" s="84"/>
      <c r="P145" s="32"/>
      <c r="Q145" s="37"/>
      <c r="R145" s="37"/>
      <c r="S145" s="37"/>
    </row>
    <row r="146" spans="1:19" s="83" customFormat="1" x14ac:dyDescent="0.3">
      <c r="B146" s="20">
        <v>600</v>
      </c>
      <c r="C146" s="85">
        <f>'Notice de calcul'!M67</f>
        <v>0</v>
      </c>
      <c r="D146" s="65">
        <f>C146*600*519.615242271 /2/1000/1000</f>
        <v>0</v>
      </c>
      <c r="E146" s="84">
        <f>+$D146*E$17/$K$17</f>
        <v>0</v>
      </c>
      <c r="F146" s="84">
        <f t="shared" ref="F146:J147" si="39">+$D146*F$17/$K$17</f>
        <v>0</v>
      </c>
      <c r="G146" s="84">
        <f t="shared" si="39"/>
        <v>0</v>
      </c>
      <c r="H146" s="84">
        <f t="shared" si="39"/>
        <v>0</v>
      </c>
      <c r="I146" s="84">
        <f t="shared" si="39"/>
        <v>0</v>
      </c>
      <c r="J146" s="84">
        <f t="shared" si="39"/>
        <v>0</v>
      </c>
      <c r="P146" s="32"/>
      <c r="Q146" s="37"/>
      <c r="R146" s="37"/>
      <c r="S146" s="37"/>
    </row>
    <row r="147" spans="1:19" s="83" customFormat="1" x14ac:dyDescent="0.3">
      <c r="B147" s="20">
        <v>1195</v>
      </c>
      <c r="C147" s="85">
        <f>'Notice de calcul'!M68</f>
        <v>0</v>
      </c>
      <c r="D147" s="65">
        <f>C147*1195*1034.90035752/2/1000/1000</f>
        <v>0</v>
      </c>
      <c r="E147" s="84">
        <f>+$D147*E$17/$K$17</f>
        <v>0</v>
      </c>
      <c r="F147" s="84">
        <f t="shared" si="39"/>
        <v>0</v>
      </c>
      <c r="G147" s="84">
        <f t="shared" si="39"/>
        <v>0</v>
      </c>
      <c r="H147" s="84">
        <f t="shared" si="39"/>
        <v>0</v>
      </c>
      <c r="I147" s="84">
        <f t="shared" si="39"/>
        <v>0</v>
      </c>
      <c r="J147" s="84">
        <f t="shared" si="39"/>
        <v>0</v>
      </c>
      <c r="P147" s="32"/>
      <c r="Q147" s="37"/>
      <c r="R147" s="37"/>
      <c r="S147" s="37"/>
    </row>
    <row r="148" spans="1:19" s="83" customFormat="1" x14ac:dyDescent="0.3">
      <c r="B148" s="109" t="s">
        <v>139</v>
      </c>
      <c r="C148" s="99"/>
      <c r="D148" s="85"/>
      <c r="E148" s="84"/>
      <c r="F148" s="84"/>
      <c r="G148" s="84"/>
      <c r="H148" s="84"/>
      <c r="I148" s="84"/>
      <c r="J148" s="84"/>
      <c r="P148" s="32"/>
      <c r="Q148" s="37"/>
      <c r="R148" s="37"/>
      <c r="S148" s="37"/>
    </row>
    <row r="149" spans="1:19" s="83" customFormat="1" x14ac:dyDescent="0.3">
      <c r="B149" s="20">
        <v>600</v>
      </c>
      <c r="C149" s="85">
        <f>'Notice de calcul'!L67</f>
        <v>0</v>
      </c>
      <c r="D149" s="65">
        <f>C149*600*519.615242271 /2/1000/1000</f>
        <v>0</v>
      </c>
      <c r="E149" s="84">
        <f>+$D149*E$16/$K$16</f>
        <v>0</v>
      </c>
      <c r="F149" s="84">
        <f t="shared" ref="F149:J150" si="40">+$D149*F$16/$K$16</f>
        <v>0</v>
      </c>
      <c r="G149" s="84">
        <f t="shared" si="40"/>
        <v>0</v>
      </c>
      <c r="H149" s="84">
        <f t="shared" si="40"/>
        <v>0</v>
      </c>
      <c r="I149" s="84">
        <f t="shared" si="40"/>
        <v>0</v>
      </c>
      <c r="J149" s="84">
        <f t="shared" si="40"/>
        <v>0</v>
      </c>
      <c r="P149" s="32"/>
      <c r="Q149" s="37"/>
      <c r="R149" s="37"/>
      <c r="S149" s="37"/>
    </row>
    <row r="150" spans="1:19" s="83" customFormat="1" x14ac:dyDescent="0.3">
      <c r="B150" s="20">
        <v>1195</v>
      </c>
      <c r="C150" s="85">
        <f>'Notice de calcul'!L68</f>
        <v>0</v>
      </c>
      <c r="D150" s="65">
        <f>C150*1195*1034.90035752/2/1000/1000</f>
        <v>0</v>
      </c>
      <c r="E150" s="84">
        <f>+$D150*E$16/$K$16</f>
        <v>0</v>
      </c>
      <c r="F150" s="84">
        <f t="shared" si="40"/>
        <v>0</v>
      </c>
      <c r="G150" s="84">
        <f t="shared" si="40"/>
        <v>0</v>
      </c>
      <c r="H150" s="84">
        <f t="shared" si="40"/>
        <v>0</v>
      </c>
      <c r="I150" s="84">
        <f t="shared" si="40"/>
        <v>0</v>
      </c>
      <c r="J150" s="84">
        <f t="shared" si="40"/>
        <v>0</v>
      </c>
      <c r="P150" s="32"/>
      <c r="Q150" s="37"/>
      <c r="R150" s="37"/>
      <c r="S150" s="37"/>
    </row>
    <row r="151" spans="1:19" s="83" customFormat="1" x14ac:dyDescent="0.3">
      <c r="B151" s="109" t="s">
        <v>147</v>
      </c>
      <c r="C151" s="85"/>
      <c r="D151" s="65"/>
      <c r="E151" s="84"/>
      <c r="F151" s="84"/>
      <c r="G151" s="84"/>
      <c r="H151" s="84"/>
      <c r="I151" s="84"/>
      <c r="J151" s="84"/>
      <c r="P151" s="32"/>
      <c r="Q151" s="37"/>
      <c r="R151" s="37"/>
      <c r="S151" s="37"/>
    </row>
    <row r="152" spans="1:19" s="83" customFormat="1" x14ac:dyDescent="0.3">
      <c r="B152" s="101" t="s">
        <v>148</v>
      </c>
      <c r="C152" s="85"/>
      <c r="D152" s="65">
        <f>C152*1000*1300/1000/1000</f>
        <v>0</v>
      </c>
      <c r="E152" s="84">
        <f t="shared" ref="E152:J156" si="41">+$D152*E30/$K30</f>
        <v>0</v>
      </c>
      <c r="F152" s="84">
        <f t="shared" si="41"/>
        <v>0</v>
      </c>
      <c r="G152" s="84">
        <f t="shared" si="41"/>
        <v>0</v>
      </c>
      <c r="H152" s="84">
        <f t="shared" si="41"/>
        <v>0</v>
      </c>
      <c r="I152" s="84">
        <f t="shared" si="41"/>
        <v>0</v>
      </c>
      <c r="J152" s="84">
        <f t="shared" si="41"/>
        <v>0</v>
      </c>
      <c r="P152" s="32"/>
      <c r="Q152" s="37"/>
      <c r="R152" s="37"/>
      <c r="S152" s="37"/>
    </row>
    <row r="153" spans="1:19" s="83" customFormat="1" x14ac:dyDescent="0.3">
      <c r="B153" s="101" t="s">
        <v>149</v>
      </c>
      <c r="C153" s="85"/>
      <c r="D153" s="65">
        <f>C153*1400*1300/1000/1000</f>
        <v>0</v>
      </c>
      <c r="E153" s="84">
        <f t="shared" si="41"/>
        <v>0</v>
      </c>
      <c r="F153" s="84">
        <f t="shared" si="41"/>
        <v>0</v>
      </c>
      <c r="G153" s="84">
        <f t="shared" si="41"/>
        <v>0</v>
      </c>
      <c r="H153" s="84">
        <f t="shared" si="41"/>
        <v>0</v>
      </c>
      <c r="I153" s="84">
        <f t="shared" si="41"/>
        <v>0</v>
      </c>
      <c r="J153" s="84">
        <f t="shared" si="41"/>
        <v>0</v>
      </c>
      <c r="P153" s="32"/>
      <c r="Q153" s="37"/>
      <c r="R153" s="37"/>
      <c r="S153" s="37"/>
    </row>
    <row r="154" spans="1:19" s="83" customFormat="1" x14ac:dyDescent="0.3">
      <c r="B154" s="101" t="s">
        <v>150</v>
      </c>
      <c r="C154" s="85"/>
      <c r="D154" s="65">
        <f>C154*1600*1300/1000/1000</f>
        <v>0</v>
      </c>
      <c r="E154" s="84">
        <f t="shared" si="41"/>
        <v>0</v>
      </c>
      <c r="F154" s="84">
        <f t="shared" si="41"/>
        <v>0</v>
      </c>
      <c r="G154" s="84">
        <f t="shared" si="41"/>
        <v>0</v>
      </c>
      <c r="H154" s="84">
        <f t="shared" si="41"/>
        <v>0</v>
      </c>
      <c r="I154" s="84">
        <f t="shared" si="41"/>
        <v>0</v>
      </c>
      <c r="J154" s="84">
        <f t="shared" si="41"/>
        <v>0</v>
      </c>
      <c r="P154" s="32"/>
      <c r="Q154" s="37"/>
      <c r="R154" s="37"/>
      <c r="S154" s="37"/>
    </row>
    <row r="155" spans="1:19" s="83" customFormat="1" x14ac:dyDescent="0.3">
      <c r="B155" s="101" t="s">
        <v>151</v>
      </c>
      <c r="C155" s="85"/>
      <c r="D155" s="65">
        <f>C155*1800*1300/1000/1000</f>
        <v>0</v>
      </c>
      <c r="E155" s="84">
        <f t="shared" si="41"/>
        <v>0</v>
      </c>
      <c r="F155" s="84">
        <f t="shared" si="41"/>
        <v>0</v>
      </c>
      <c r="G155" s="84">
        <f t="shared" si="41"/>
        <v>0</v>
      </c>
      <c r="H155" s="84">
        <f t="shared" si="41"/>
        <v>0</v>
      </c>
      <c r="I155" s="84">
        <f t="shared" si="41"/>
        <v>0</v>
      </c>
      <c r="J155" s="84">
        <f t="shared" si="41"/>
        <v>0</v>
      </c>
      <c r="P155" s="32"/>
      <c r="Q155" s="37"/>
      <c r="R155" s="37"/>
      <c r="S155" s="37"/>
    </row>
    <row r="156" spans="1:19" s="83" customFormat="1" x14ac:dyDescent="0.3">
      <c r="B156" s="101" t="s">
        <v>152</v>
      </c>
      <c r="C156" s="85"/>
      <c r="D156" s="65">
        <f>C156*2000*1300/1000/1000</f>
        <v>0</v>
      </c>
      <c r="E156" s="84">
        <f t="shared" si="41"/>
        <v>0</v>
      </c>
      <c r="F156" s="84">
        <f t="shared" si="41"/>
        <v>0</v>
      </c>
      <c r="G156" s="84">
        <f t="shared" si="41"/>
        <v>0</v>
      </c>
      <c r="H156" s="84">
        <f t="shared" si="41"/>
        <v>0</v>
      </c>
      <c r="I156" s="84">
        <f t="shared" si="41"/>
        <v>0</v>
      </c>
      <c r="J156" s="84">
        <f t="shared" si="41"/>
        <v>0</v>
      </c>
      <c r="P156" s="32"/>
      <c r="Q156" s="37"/>
      <c r="R156" s="37"/>
      <c r="S156" s="37"/>
    </row>
    <row r="157" spans="1:19" s="83" customFormat="1" x14ac:dyDescent="0.3">
      <c r="B157" s="109" t="s">
        <v>164</v>
      </c>
      <c r="E157" s="84"/>
      <c r="F157" s="84"/>
      <c r="G157" s="84"/>
      <c r="H157" s="84"/>
      <c r="I157" s="84"/>
      <c r="J157" s="84"/>
      <c r="P157" s="32"/>
      <c r="Q157" s="37"/>
      <c r="R157" s="37"/>
      <c r="S157" s="37"/>
    </row>
    <row r="158" spans="1:19" s="83" customFormat="1" x14ac:dyDescent="0.3">
      <c r="A158" s="279"/>
      <c r="B158" s="280" t="s">
        <v>163</v>
      </c>
      <c r="C158" s="281"/>
      <c r="D158" s="282">
        <f>+C158*1.12*0.485</f>
        <v>0</v>
      </c>
      <c r="E158" s="283">
        <f t="shared" ref="E158:J158" si="42">+$D158*E35/$K$35</f>
        <v>0</v>
      </c>
      <c r="F158" s="283">
        <f t="shared" si="42"/>
        <v>0</v>
      </c>
      <c r="G158" s="283">
        <f t="shared" si="42"/>
        <v>0</v>
      </c>
      <c r="H158" s="283">
        <f t="shared" si="42"/>
        <v>0</v>
      </c>
      <c r="I158" s="283">
        <f t="shared" si="42"/>
        <v>0</v>
      </c>
      <c r="J158" s="283">
        <f t="shared" si="42"/>
        <v>0</v>
      </c>
      <c r="P158" s="32"/>
      <c r="Q158" s="37"/>
      <c r="R158" s="37"/>
      <c r="S158" s="37"/>
    </row>
    <row r="159" spans="1:19" s="83" customFormat="1" x14ac:dyDescent="0.3">
      <c r="B159" s="109" t="s">
        <v>360</v>
      </c>
      <c r="C159" s="85"/>
      <c r="D159" s="65"/>
      <c r="E159" s="84"/>
      <c r="F159" s="84"/>
      <c r="G159" s="84"/>
      <c r="H159" s="84"/>
      <c r="I159" s="84"/>
      <c r="J159" s="84"/>
      <c r="P159" s="32"/>
      <c r="Q159" s="37"/>
      <c r="R159" s="37"/>
      <c r="S159" s="37"/>
    </row>
    <row r="160" spans="1:19" s="272" customFormat="1" x14ac:dyDescent="0.3">
      <c r="B160" s="273" t="s">
        <v>157</v>
      </c>
      <c r="C160" s="274">
        <f>+'Notice de calcul'!U55</f>
        <v>0</v>
      </c>
      <c r="D160" s="275">
        <f>+C160*0.76*0.76</f>
        <v>0</v>
      </c>
      <c r="E160" s="274">
        <f>+$D160*E$15/$K$15</f>
        <v>0</v>
      </c>
      <c r="F160" s="274">
        <f>+$D160*F$15/$K$15</f>
        <v>0</v>
      </c>
      <c r="G160" s="274">
        <f t="shared" ref="G160:J161" si="43">+$D160*G$15/$K$15</f>
        <v>0</v>
      </c>
      <c r="H160" s="274">
        <f t="shared" si="43"/>
        <v>0</v>
      </c>
      <c r="I160" s="274">
        <f t="shared" si="43"/>
        <v>0</v>
      </c>
      <c r="J160" s="274">
        <f t="shared" si="43"/>
        <v>0</v>
      </c>
      <c r="P160" s="271"/>
      <c r="Q160" s="276"/>
      <c r="R160" s="276"/>
      <c r="S160" s="276"/>
    </row>
    <row r="161" spans="2:19" s="272" customFormat="1" x14ac:dyDescent="0.3">
      <c r="B161" s="273" t="s">
        <v>368</v>
      </c>
      <c r="C161" s="274">
        <f>+'Notice de calcul'!U56</f>
        <v>0</v>
      </c>
      <c r="D161" s="275">
        <f>+C161*1.14*0.76</f>
        <v>0</v>
      </c>
      <c r="E161" s="274">
        <f>+$D161*E$15/$K$15</f>
        <v>0</v>
      </c>
      <c r="F161" s="274">
        <f t="shared" ref="F161" si="44">+$D161*F$15/$K$15</f>
        <v>0</v>
      </c>
      <c r="G161" s="274">
        <f t="shared" si="43"/>
        <v>0</v>
      </c>
      <c r="H161" s="274">
        <f t="shared" si="43"/>
        <v>0</v>
      </c>
      <c r="I161" s="274">
        <f t="shared" si="43"/>
        <v>0</v>
      </c>
      <c r="J161" s="274">
        <f t="shared" si="43"/>
        <v>0</v>
      </c>
      <c r="P161" s="271"/>
      <c r="Q161" s="276"/>
      <c r="R161" s="276"/>
      <c r="S161" s="276"/>
    </row>
    <row r="162" spans="2:19" s="272" customFormat="1" x14ac:dyDescent="0.3">
      <c r="B162" s="273" t="s">
        <v>160</v>
      </c>
      <c r="C162" s="274">
        <f>+'Notice de calcul'!U57</f>
        <v>0</v>
      </c>
      <c r="D162" s="275">
        <f>+C162*1.14*1.14</f>
        <v>0</v>
      </c>
      <c r="E162" s="274">
        <f t="shared" ref="E162:J167" si="45">+$D162*E$15/$K$15</f>
        <v>0</v>
      </c>
      <c r="F162" s="274">
        <f t="shared" si="45"/>
        <v>0</v>
      </c>
      <c r="G162" s="274">
        <f t="shared" si="45"/>
        <v>0</v>
      </c>
      <c r="H162" s="274">
        <f t="shared" si="45"/>
        <v>0</v>
      </c>
      <c r="I162" s="274">
        <f t="shared" si="45"/>
        <v>0</v>
      </c>
      <c r="J162" s="274">
        <f t="shared" si="45"/>
        <v>0</v>
      </c>
      <c r="P162" s="271"/>
      <c r="Q162" s="276"/>
      <c r="R162" s="276"/>
      <c r="S162" s="276"/>
    </row>
    <row r="163" spans="2:19" s="272" customFormat="1" x14ac:dyDescent="0.3">
      <c r="B163" s="273" t="s">
        <v>394</v>
      </c>
      <c r="C163" s="274">
        <f>+'Notice de calcul'!U58</f>
        <v>0</v>
      </c>
      <c r="D163" s="275">
        <f>+C163*0.78*1.57</f>
        <v>0</v>
      </c>
      <c r="E163" s="274">
        <f t="shared" si="45"/>
        <v>0</v>
      </c>
      <c r="F163" s="274">
        <f t="shared" si="45"/>
        <v>0</v>
      </c>
      <c r="G163" s="274">
        <f t="shared" si="45"/>
        <v>0</v>
      </c>
      <c r="H163" s="274">
        <f t="shared" si="45"/>
        <v>0</v>
      </c>
      <c r="I163" s="274">
        <f t="shared" si="45"/>
        <v>0</v>
      </c>
      <c r="J163" s="274">
        <f t="shared" si="45"/>
        <v>0</v>
      </c>
      <c r="P163" s="271"/>
      <c r="Q163" s="276"/>
      <c r="R163" s="276"/>
      <c r="S163" s="276"/>
    </row>
    <row r="164" spans="2:19" s="272" customFormat="1" x14ac:dyDescent="0.3">
      <c r="B164" s="273" t="s">
        <v>395</v>
      </c>
      <c r="C164" s="274">
        <f>+'Notice de calcul'!Z55</f>
        <v>0</v>
      </c>
      <c r="D164" s="275">
        <f>+C164*1.14*1.57</f>
        <v>0</v>
      </c>
      <c r="E164" s="274">
        <f t="shared" si="45"/>
        <v>0</v>
      </c>
      <c r="F164" s="274">
        <f t="shared" si="45"/>
        <v>0</v>
      </c>
      <c r="G164" s="274">
        <f t="shared" si="45"/>
        <v>0</v>
      </c>
      <c r="H164" s="274">
        <f t="shared" si="45"/>
        <v>0</v>
      </c>
      <c r="I164" s="274">
        <f t="shared" si="45"/>
        <v>0</v>
      </c>
      <c r="J164" s="274">
        <f t="shared" si="45"/>
        <v>0</v>
      </c>
      <c r="P164" s="271"/>
      <c r="Q164" s="276"/>
      <c r="R164" s="276"/>
      <c r="S164" s="276"/>
    </row>
    <row r="165" spans="2:19" s="272" customFormat="1" x14ac:dyDescent="0.3">
      <c r="B165" s="273" t="s">
        <v>347</v>
      </c>
      <c r="C165" s="274">
        <f>+'Notice de calcul'!Z56</f>
        <v>0</v>
      </c>
      <c r="D165" s="275">
        <f>C165*3.141592653*350*350/1000/1000</f>
        <v>0</v>
      </c>
      <c r="E165" s="274">
        <f t="shared" si="45"/>
        <v>0</v>
      </c>
      <c r="F165" s="274">
        <f t="shared" si="45"/>
        <v>0</v>
      </c>
      <c r="G165" s="274">
        <f t="shared" si="45"/>
        <v>0</v>
      </c>
      <c r="H165" s="274">
        <f t="shared" si="45"/>
        <v>0</v>
      </c>
      <c r="I165" s="274">
        <f t="shared" si="45"/>
        <v>0</v>
      </c>
      <c r="J165" s="274">
        <f t="shared" si="45"/>
        <v>0</v>
      </c>
      <c r="P165" s="271"/>
      <c r="Q165" s="276"/>
      <c r="R165" s="276"/>
      <c r="S165" s="276"/>
    </row>
    <row r="166" spans="2:19" s="272" customFormat="1" x14ac:dyDescent="0.3">
      <c r="B166" s="273" t="s">
        <v>348</v>
      </c>
      <c r="C166" s="274">
        <f>+'Notice de calcul'!Z57</f>
        <v>0</v>
      </c>
      <c r="D166" s="275">
        <f>C166*3.141592653*480*480/1000/1000</f>
        <v>0</v>
      </c>
      <c r="E166" s="274">
        <f t="shared" si="45"/>
        <v>0</v>
      </c>
      <c r="F166" s="274">
        <f t="shared" si="45"/>
        <v>0</v>
      </c>
      <c r="G166" s="274">
        <f t="shared" si="45"/>
        <v>0</v>
      </c>
      <c r="H166" s="274">
        <f t="shared" si="45"/>
        <v>0</v>
      </c>
      <c r="I166" s="274">
        <f t="shared" si="45"/>
        <v>0</v>
      </c>
      <c r="J166" s="274">
        <f t="shared" si="45"/>
        <v>0</v>
      </c>
      <c r="P166" s="271"/>
      <c r="Q166" s="276"/>
      <c r="R166" s="276"/>
      <c r="S166" s="276"/>
    </row>
    <row r="167" spans="2:19" s="272" customFormat="1" x14ac:dyDescent="0.3">
      <c r="B167" s="273" t="s">
        <v>349</v>
      </c>
      <c r="C167" s="274">
        <f>+'Notice de calcul'!Z58</f>
        <v>0</v>
      </c>
      <c r="D167" s="275">
        <f>C167*3.141592653*570*570/1000/1000</f>
        <v>0</v>
      </c>
      <c r="E167" s="274">
        <f t="shared" si="45"/>
        <v>0</v>
      </c>
      <c r="F167" s="274">
        <f t="shared" si="45"/>
        <v>0</v>
      </c>
      <c r="G167" s="274">
        <f t="shared" si="45"/>
        <v>0</v>
      </c>
      <c r="H167" s="274">
        <f t="shared" si="45"/>
        <v>0</v>
      </c>
      <c r="I167" s="274">
        <f t="shared" si="45"/>
        <v>0</v>
      </c>
      <c r="J167" s="274">
        <f t="shared" si="45"/>
        <v>0</v>
      </c>
      <c r="P167" s="271"/>
      <c r="Q167" s="276"/>
      <c r="R167" s="276"/>
      <c r="S167" s="276"/>
    </row>
    <row r="168" spans="2:19" s="272" customFormat="1" x14ac:dyDescent="0.3">
      <c r="B168" s="109" t="s">
        <v>396</v>
      </c>
      <c r="C168" s="274"/>
      <c r="D168" s="275"/>
      <c r="E168" s="274"/>
      <c r="F168" s="274"/>
      <c r="G168" s="274"/>
      <c r="H168" s="274"/>
      <c r="I168" s="274"/>
      <c r="J168" s="274"/>
      <c r="P168" s="271"/>
      <c r="Q168" s="276"/>
      <c r="R168" s="276"/>
      <c r="S168" s="276"/>
    </row>
    <row r="169" spans="2:19" s="272" customFormat="1" x14ac:dyDescent="0.3">
      <c r="B169" s="273" t="s">
        <v>157</v>
      </c>
      <c r="C169" s="274">
        <f>+'Notice de calcul'!V55</f>
        <v>0</v>
      </c>
      <c r="D169" s="275">
        <f>+C169*0.76*0.76</f>
        <v>0</v>
      </c>
      <c r="E169" s="274">
        <f>+$D169*E$36/$K$36</f>
        <v>0</v>
      </c>
      <c r="F169" s="274">
        <f t="shared" ref="F169:J176" si="46">+$D169*F$36/$K$36</f>
        <v>0</v>
      </c>
      <c r="G169" s="274">
        <f t="shared" si="46"/>
        <v>0</v>
      </c>
      <c r="H169" s="274">
        <f t="shared" si="46"/>
        <v>0</v>
      </c>
      <c r="I169" s="274">
        <f t="shared" si="46"/>
        <v>0</v>
      </c>
      <c r="J169" s="274">
        <f t="shared" si="46"/>
        <v>0</v>
      </c>
      <c r="P169" s="271"/>
      <c r="Q169" s="276"/>
      <c r="R169" s="276"/>
      <c r="S169" s="276"/>
    </row>
    <row r="170" spans="2:19" s="272" customFormat="1" x14ac:dyDescent="0.3">
      <c r="B170" s="273" t="s">
        <v>368</v>
      </c>
      <c r="C170" s="274">
        <f>+'Notice de calcul'!V56</f>
        <v>0</v>
      </c>
      <c r="D170" s="275">
        <f>+C170*1.14*0.76</f>
        <v>0</v>
      </c>
      <c r="E170" s="274">
        <f t="shared" ref="E170:E176" si="47">+$D170*E$36/$K$36</f>
        <v>0</v>
      </c>
      <c r="F170" s="274">
        <f t="shared" si="46"/>
        <v>0</v>
      </c>
      <c r="G170" s="274">
        <f t="shared" si="46"/>
        <v>0</v>
      </c>
      <c r="H170" s="274">
        <f t="shared" si="46"/>
        <v>0</v>
      </c>
      <c r="I170" s="274">
        <f t="shared" si="46"/>
        <v>0</v>
      </c>
      <c r="J170" s="274">
        <f t="shared" si="46"/>
        <v>0</v>
      </c>
      <c r="P170" s="271"/>
      <c r="Q170" s="276"/>
      <c r="R170" s="276"/>
      <c r="S170" s="276"/>
    </row>
    <row r="171" spans="2:19" s="272" customFormat="1" x14ac:dyDescent="0.3">
      <c r="B171" s="273" t="s">
        <v>160</v>
      </c>
      <c r="C171" s="274">
        <f>+'Notice de calcul'!V57</f>
        <v>0</v>
      </c>
      <c r="D171" s="275">
        <f>+C171*1.14*1.14</f>
        <v>0</v>
      </c>
      <c r="E171" s="274">
        <f t="shared" si="47"/>
        <v>0</v>
      </c>
      <c r="F171" s="274">
        <f t="shared" si="46"/>
        <v>0</v>
      </c>
      <c r="G171" s="274">
        <f t="shared" si="46"/>
        <v>0</v>
      </c>
      <c r="H171" s="274">
        <f t="shared" si="46"/>
        <v>0</v>
      </c>
      <c r="I171" s="274">
        <f t="shared" si="46"/>
        <v>0</v>
      </c>
      <c r="J171" s="274">
        <f t="shared" si="46"/>
        <v>0</v>
      </c>
      <c r="P171" s="271"/>
      <c r="Q171" s="276"/>
      <c r="R171" s="276"/>
      <c r="S171" s="276"/>
    </row>
    <row r="172" spans="2:19" s="272" customFormat="1" x14ac:dyDescent="0.3">
      <c r="B172" s="273" t="s">
        <v>394</v>
      </c>
      <c r="C172" s="274">
        <f>+'Notice de calcul'!V58</f>
        <v>0</v>
      </c>
      <c r="D172" s="275">
        <f>+C172*0.78*1.57</f>
        <v>0</v>
      </c>
      <c r="E172" s="274">
        <f t="shared" si="47"/>
        <v>0</v>
      </c>
      <c r="F172" s="274">
        <f t="shared" si="46"/>
        <v>0</v>
      </c>
      <c r="G172" s="274">
        <f t="shared" si="46"/>
        <v>0</v>
      </c>
      <c r="H172" s="274">
        <f t="shared" si="46"/>
        <v>0</v>
      </c>
      <c r="I172" s="274">
        <f t="shared" si="46"/>
        <v>0</v>
      </c>
      <c r="J172" s="274">
        <f t="shared" si="46"/>
        <v>0</v>
      </c>
      <c r="P172" s="271"/>
      <c r="Q172" s="276"/>
      <c r="R172" s="276"/>
      <c r="S172" s="276"/>
    </row>
    <row r="173" spans="2:19" s="272" customFormat="1" x14ac:dyDescent="0.3">
      <c r="B173" s="273" t="s">
        <v>395</v>
      </c>
      <c r="C173" s="274">
        <f>+'Notice de calcul'!AA55</f>
        <v>0</v>
      </c>
      <c r="D173" s="275">
        <f>+C173*1.14*1.57</f>
        <v>0</v>
      </c>
      <c r="E173" s="274">
        <f t="shared" si="47"/>
        <v>0</v>
      </c>
      <c r="F173" s="274">
        <f t="shared" si="46"/>
        <v>0</v>
      </c>
      <c r="G173" s="274">
        <f t="shared" si="46"/>
        <v>0</v>
      </c>
      <c r="H173" s="274">
        <f t="shared" si="46"/>
        <v>0</v>
      </c>
      <c r="I173" s="274">
        <f t="shared" si="46"/>
        <v>0</v>
      </c>
      <c r="J173" s="274">
        <f t="shared" si="46"/>
        <v>0</v>
      </c>
      <c r="P173" s="271"/>
      <c r="Q173" s="276"/>
      <c r="R173" s="276"/>
      <c r="S173" s="276"/>
    </row>
    <row r="174" spans="2:19" s="272" customFormat="1" x14ac:dyDescent="0.3">
      <c r="B174" s="273" t="s">
        <v>347</v>
      </c>
      <c r="C174" s="274">
        <f>+'Notice de calcul'!AA56</f>
        <v>0</v>
      </c>
      <c r="D174" s="275">
        <f>C174*3.141592653*350*350/1000/1000</f>
        <v>0</v>
      </c>
      <c r="E174" s="274">
        <f t="shared" si="47"/>
        <v>0</v>
      </c>
      <c r="F174" s="274">
        <f t="shared" si="46"/>
        <v>0</v>
      </c>
      <c r="G174" s="274">
        <f t="shared" si="46"/>
        <v>0</v>
      </c>
      <c r="H174" s="274">
        <f t="shared" si="46"/>
        <v>0</v>
      </c>
      <c r="I174" s="274">
        <f t="shared" si="46"/>
        <v>0</v>
      </c>
      <c r="J174" s="274">
        <f t="shared" si="46"/>
        <v>0</v>
      </c>
      <c r="P174" s="271"/>
      <c r="Q174" s="276"/>
      <c r="R174" s="276"/>
      <c r="S174" s="276"/>
    </row>
    <row r="175" spans="2:19" s="272" customFormat="1" x14ac:dyDescent="0.3">
      <c r="B175" s="273" t="s">
        <v>348</v>
      </c>
      <c r="C175" s="274">
        <f>+'Notice de calcul'!AA57</f>
        <v>0</v>
      </c>
      <c r="D175" s="275">
        <f>C175*3.141592653*480*480/1000/1000</f>
        <v>0</v>
      </c>
      <c r="E175" s="274">
        <f t="shared" si="47"/>
        <v>0</v>
      </c>
      <c r="F175" s="274">
        <f t="shared" si="46"/>
        <v>0</v>
      </c>
      <c r="G175" s="274">
        <f t="shared" si="46"/>
        <v>0</v>
      </c>
      <c r="H175" s="274">
        <f t="shared" si="46"/>
        <v>0</v>
      </c>
      <c r="I175" s="274">
        <f t="shared" si="46"/>
        <v>0</v>
      </c>
      <c r="J175" s="274">
        <f t="shared" si="46"/>
        <v>0</v>
      </c>
      <c r="P175" s="271"/>
      <c r="Q175" s="276"/>
      <c r="R175" s="276"/>
      <c r="S175" s="276"/>
    </row>
    <row r="176" spans="2:19" s="272" customFormat="1" x14ac:dyDescent="0.3">
      <c r="B176" s="273" t="s">
        <v>349</v>
      </c>
      <c r="C176" s="274">
        <f>+'Notice de calcul'!AA58</f>
        <v>0</v>
      </c>
      <c r="D176" s="275">
        <f>C176*3.141592653*570*570/1000/1000</f>
        <v>0</v>
      </c>
      <c r="E176" s="274">
        <f t="shared" si="47"/>
        <v>0</v>
      </c>
      <c r="F176" s="274">
        <f t="shared" si="46"/>
        <v>0</v>
      </c>
      <c r="G176" s="274">
        <f t="shared" si="46"/>
        <v>0</v>
      </c>
      <c r="H176" s="274">
        <f t="shared" si="46"/>
        <v>0</v>
      </c>
      <c r="I176" s="274">
        <f t="shared" si="46"/>
        <v>0</v>
      </c>
      <c r="J176" s="274">
        <f t="shared" si="46"/>
        <v>0</v>
      </c>
      <c r="P176" s="271"/>
      <c r="Q176" s="276"/>
      <c r="R176" s="276"/>
      <c r="S176" s="276"/>
    </row>
    <row r="177" spans="2:19" s="83" customFormat="1" x14ac:dyDescent="0.3">
      <c r="B177" s="109" t="s">
        <v>169</v>
      </c>
      <c r="C177" s="170"/>
      <c r="D177" s="65"/>
      <c r="E177" s="84"/>
      <c r="F177" s="84"/>
      <c r="G177" s="84"/>
      <c r="H177" s="84"/>
      <c r="I177" s="84"/>
      <c r="J177" s="84"/>
      <c r="P177" s="32"/>
      <c r="Q177" s="37"/>
      <c r="R177" s="37"/>
      <c r="S177" s="37"/>
    </row>
    <row r="178" spans="2:19" s="83" customFormat="1" x14ac:dyDescent="0.3">
      <c r="B178" s="101" t="s">
        <v>170</v>
      </c>
      <c r="C178" s="85">
        <f>+'Notice de calcul'!P60</f>
        <v>0</v>
      </c>
      <c r="D178" s="65">
        <f>+C178*1.6*0.375*2</f>
        <v>0</v>
      </c>
      <c r="E178" s="84">
        <f t="shared" ref="E178:J179" si="48">+$D178*E37/$K37</f>
        <v>0</v>
      </c>
      <c r="F178" s="84">
        <f t="shared" si="48"/>
        <v>0</v>
      </c>
      <c r="G178" s="84">
        <f t="shared" si="48"/>
        <v>0</v>
      </c>
      <c r="H178" s="84">
        <f t="shared" si="48"/>
        <v>0</v>
      </c>
      <c r="I178" s="84">
        <f t="shared" si="48"/>
        <v>0</v>
      </c>
      <c r="J178" s="84">
        <f t="shared" si="48"/>
        <v>0</v>
      </c>
      <c r="P178" s="32"/>
      <c r="Q178" s="37"/>
      <c r="R178" s="37"/>
      <c r="S178" s="37"/>
    </row>
    <row r="179" spans="2:19" s="83" customFormat="1" x14ac:dyDescent="0.3">
      <c r="B179" s="101" t="s">
        <v>171</v>
      </c>
      <c r="C179" s="85">
        <f>+'Notice de calcul'!P61</f>
        <v>0</v>
      </c>
      <c r="D179" s="65">
        <f>+C179*1.6*0.375*2</f>
        <v>0</v>
      </c>
      <c r="E179" s="84">
        <f t="shared" si="48"/>
        <v>0</v>
      </c>
      <c r="F179" s="84">
        <f t="shared" si="48"/>
        <v>0</v>
      </c>
      <c r="G179" s="84">
        <f t="shared" si="48"/>
        <v>0</v>
      </c>
      <c r="H179" s="84">
        <f t="shared" si="48"/>
        <v>0</v>
      </c>
      <c r="I179" s="84">
        <f t="shared" si="48"/>
        <v>0</v>
      </c>
      <c r="J179" s="84">
        <f t="shared" si="48"/>
        <v>0</v>
      </c>
      <c r="P179" s="32"/>
      <c r="Q179" s="37"/>
      <c r="R179" s="37"/>
      <c r="S179" s="37"/>
    </row>
    <row r="180" spans="2:19" s="83" customFormat="1" x14ac:dyDescent="0.3">
      <c r="B180" s="109" t="s">
        <v>308</v>
      </c>
      <c r="C180" s="170"/>
      <c r="D180" s="65"/>
      <c r="E180" s="84"/>
      <c r="F180" s="84"/>
      <c r="G180" s="84"/>
      <c r="H180" s="84"/>
      <c r="I180" s="84"/>
      <c r="J180" s="84"/>
      <c r="P180" s="32"/>
      <c r="Q180" s="37"/>
      <c r="R180" s="37"/>
      <c r="S180" s="37"/>
    </row>
    <row r="181" spans="2:19" s="83" customFormat="1" x14ac:dyDescent="0.3">
      <c r="B181" s="101" t="s">
        <v>309</v>
      </c>
      <c r="C181" s="85">
        <f>+'Notice de calcul'!P63</f>
        <v>0</v>
      </c>
      <c r="D181" s="65">
        <f>+C181*1.6*1.2</f>
        <v>0</v>
      </c>
      <c r="E181" s="84">
        <f t="shared" ref="E181:J181" si="49">+$D181*E38/$K38</f>
        <v>0</v>
      </c>
      <c r="F181" s="84">
        <f t="shared" si="49"/>
        <v>0</v>
      </c>
      <c r="G181" s="84">
        <f t="shared" si="49"/>
        <v>0</v>
      </c>
      <c r="H181" s="84">
        <f t="shared" si="49"/>
        <v>0</v>
      </c>
      <c r="I181" s="84">
        <f t="shared" si="49"/>
        <v>0</v>
      </c>
      <c r="J181" s="84">
        <f t="shared" si="49"/>
        <v>0</v>
      </c>
      <c r="P181" s="32"/>
      <c r="Q181" s="37"/>
      <c r="R181" s="37"/>
      <c r="S181" s="37"/>
    </row>
    <row r="182" spans="2:19" s="83" customFormat="1" x14ac:dyDescent="0.3">
      <c r="B182" s="347" t="s">
        <v>165</v>
      </c>
      <c r="C182" s="348"/>
      <c r="D182" s="75"/>
      <c r="E182" s="349"/>
      <c r="F182" s="349"/>
      <c r="G182" s="349"/>
      <c r="H182" s="349"/>
      <c r="I182" s="349"/>
      <c r="J182" s="349"/>
      <c r="P182" s="32"/>
      <c r="Q182" s="37"/>
      <c r="R182" s="37"/>
      <c r="S182" s="37"/>
    </row>
    <row r="183" spans="2:19" s="83" customFormat="1" x14ac:dyDescent="0.3">
      <c r="B183" s="350" t="s">
        <v>157</v>
      </c>
      <c r="C183" s="37">
        <f>+'Notice de calcul'!U63</f>
        <v>0</v>
      </c>
      <c r="D183" s="75">
        <f>+C183*0.76*0.76</f>
        <v>0</v>
      </c>
      <c r="E183" s="349">
        <f>+$D183*E$35/$K$35</f>
        <v>0</v>
      </c>
      <c r="F183" s="349">
        <f t="shared" ref="F183:J188" si="50">+$D183*F$35/$K$35</f>
        <v>0</v>
      </c>
      <c r="G183" s="349">
        <f t="shared" si="50"/>
        <v>0</v>
      </c>
      <c r="H183" s="349">
        <f t="shared" si="50"/>
        <v>0</v>
      </c>
      <c r="I183" s="349">
        <f t="shared" si="50"/>
        <v>0</v>
      </c>
      <c r="J183" s="349">
        <f t="shared" si="50"/>
        <v>0</v>
      </c>
      <c r="P183" s="32"/>
      <c r="Q183" s="37"/>
      <c r="R183" s="37"/>
      <c r="S183" s="37"/>
    </row>
    <row r="184" spans="2:19" s="83" customFormat="1" x14ac:dyDescent="0.3">
      <c r="B184" s="350" t="s">
        <v>158</v>
      </c>
      <c r="C184" s="37">
        <f>+'Notice de calcul'!U64</f>
        <v>0</v>
      </c>
      <c r="D184" s="75">
        <f>+C184*0.56*1.14</f>
        <v>0</v>
      </c>
      <c r="E184" s="349">
        <f>+$D184*E$35/$K$35</f>
        <v>0</v>
      </c>
      <c r="F184" s="349">
        <f t="shared" si="50"/>
        <v>0</v>
      </c>
      <c r="G184" s="349">
        <f t="shared" si="50"/>
        <v>0</v>
      </c>
      <c r="H184" s="349">
        <f t="shared" si="50"/>
        <v>0</v>
      </c>
      <c r="I184" s="349">
        <f t="shared" si="50"/>
        <v>0</v>
      </c>
      <c r="J184" s="349">
        <f t="shared" si="50"/>
        <v>0</v>
      </c>
      <c r="P184" s="32"/>
      <c r="Q184" s="37"/>
      <c r="R184" s="37"/>
      <c r="S184" s="37"/>
    </row>
    <row r="185" spans="2:19" s="83" customFormat="1" x14ac:dyDescent="0.3">
      <c r="B185" s="350" t="s">
        <v>394</v>
      </c>
      <c r="C185" s="37">
        <f>+'Notice de calcul'!U65</f>
        <v>0</v>
      </c>
      <c r="D185" s="75">
        <f>+C185*0.78*1.57</f>
        <v>0</v>
      </c>
      <c r="E185" s="349">
        <f t="shared" ref="E185:E188" si="51">+$D185*E$35/$K$35</f>
        <v>0</v>
      </c>
      <c r="F185" s="349">
        <f t="shared" si="50"/>
        <v>0</v>
      </c>
      <c r="G185" s="349">
        <f t="shared" si="50"/>
        <v>0</v>
      </c>
      <c r="H185" s="349">
        <f t="shared" si="50"/>
        <v>0</v>
      </c>
      <c r="I185" s="349">
        <f t="shared" si="50"/>
        <v>0</v>
      </c>
      <c r="J185" s="349">
        <f t="shared" si="50"/>
        <v>0</v>
      </c>
      <c r="P185" s="32"/>
      <c r="Q185" s="37"/>
      <c r="R185" s="37"/>
      <c r="S185" s="37"/>
    </row>
    <row r="186" spans="2:19" s="83" customFormat="1" x14ac:dyDescent="0.3">
      <c r="B186" s="350" t="s">
        <v>159</v>
      </c>
      <c r="C186" s="37">
        <f>+'Notice de calcul'!Z63</f>
        <v>0</v>
      </c>
      <c r="D186" s="75">
        <f>+C186*0.88*1.14</f>
        <v>0</v>
      </c>
      <c r="E186" s="349">
        <f t="shared" si="51"/>
        <v>0</v>
      </c>
      <c r="F186" s="349">
        <f t="shared" si="50"/>
        <v>0</v>
      </c>
      <c r="G186" s="349">
        <f t="shared" si="50"/>
        <v>0</v>
      </c>
      <c r="H186" s="349">
        <f t="shared" si="50"/>
        <v>0</v>
      </c>
      <c r="I186" s="349">
        <f t="shared" si="50"/>
        <v>0</v>
      </c>
      <c r="J186" s="349">
        <f t="shared" si="50"/>
        <v>0</v>
      </c>
      <c r="P186" s="32"/>
      <c r="Q186" s="37"/>
      <c r="R186" s="37"/>
      <c r="S186" s="37"/>
    </row>
    <row r="187" spans="2:19" s="83" customFormat="1" x14ac:dyDescent="0.3">
      <c r="B187" s="350" t="s">
        <v>160</v>
      </c>
      <c r="C187" s="37">
        <f>+'Notice de calcul'!Z64</f>
        <v>0</v>
      </c>
      <c r="D187" s="75">
        <f>+C187*1.14*1.14</f>
        <v>0</v>
      </c>
      <c r="E187" s="349">
        <f t="shared" si="51"/>
        <v>0</v>
      </c>
      <c r="F187" s="349">
        <f t="shared" si="50"/>
        <v>0</v>
      </c>
      <c r="G187" s="349">
        <f t="shared" si="50"/>
        <v>0</v>
      </c>
      <c r="H187" s="349">
        <f t="shared" si="50"/>
        <v>0</v>
      </c>
      <c r="I187" s="349">
        <f t="shared" si="50"/>
        <v>0</v>
      </c>
      <c r="J187" s="349">
        <f t="shared" si="50"/>
        <v>0</v>
      </c>
      <c r="P187" s="32"/>
      <c r="Q187" s="37"/>
      <c r="R187" s="37"/>
      <c r="S187" s="37"/>
    </row>
    <row r="188" spans="2:19" s="83" customFormat="1" x14ac:dyDescent="0.3">
      <c r="B188" s="350" t="s">
        <v>395</v>
      </c>
      <c r="C188" s="37">
        <f>+'Notice de calcul'!Z65</f>
        <v>0</v>
      </c>
      <c r="D188" s="75">
        <f>+C188*1.14*1.57</f>
        <v>0</v>
      </c>
      <c r="E188" s="349">
        <f t="shared" si="51"/>
        <v>0</v>
      </c>
      <c r="F188" s="349">
        <f t="shared" si="50"/>
        <v>0</v>
      </c>
      <c r="G188" s="349">
        <f t="shared" si="50"/>
        <v>0</v>
      </c>
      <c r="H188" s="349">
        <f t="shared" si="50"/>
        <v>0</v>
      </c>
      <c r="I188" s="349">
        <f t="shared" si="50"/>
        <v>0</v>
      </c>
      <c r="J188" s="349">
        <f t="shared" si="50"/>
        <v>0</v>
      </c>
      <c r="P188" s="32"/>
      <c r="Q188" s="37"/>
      <c r="R188" s="37"/>
      <c r="S188" s="37"/>
    </row>
    <row r="189" spans="2:19" s="83" customFormat="1" x14ac:dyDescent="0.3">
      <c r="B189" s="109" t="s">
        <v>190</v>
      </c>
      <c r="C189" s="170"/>
      <c r="D189" s="65"/>
      <c r="E189" s="84"/>
      <c r="F189" s="84"/>
      <c r="G189" s="84"/>
      <c r="H189" s="84"/>
      <c r="I189" s="84"/>
      <c r="J189" s="84"/>
      <c r="P189" s="32"/>
      <c r="Q189" s="37"/>
      <c r="R189" s="37"/>
      <c r="S189" s="37"/>
    </row>
    <row r="190" spans="2:19" s="83" customFormat="1" x14ac:dyDescent="0.3">
      <c r="B190" s="101" t="s">
        <v>174</v>
      </c>
      <c r="C190" s="85">
        <f>+'Notice de calcul'!AF50</f>
        <v>0</v>
      </c>
      <c r="D190" s="65">
        <f>+C190*0.47*0.7</f>
        <v>0</v>
      </c>
      <c r="E190" s="84">
        <f>+$D190*E$39/$K$39</f>
        <v>0</v>
      </c>
      <c r="F190" s="84">
        <f t="shared" ref="F190:J201" si="52">+$D190*F$39/$K$39</f>
        <v>0</v>
      </c>
      <c r="G190" s="84">
        <f t="shared" si="52"/>
        <v>0</v>
      </c>
      <c r="H190" s="84">
        <f t="shared" si="52"/>
        <v>0</v>
      </c>
      <c r="I190" s="84">
        <f t="shared" si="52"/>
        <v>0</v>
      </c>
      <c r="J190" s="84">
        <f t="shared" si="52"/>
        <v>0</v>
      </c>
      <c r="P190" s="32"/>
      <c r="Q190" s="37"/>
      <c r="R190" s="37"/>
      <c r="S190" s="37"/>
    </row>
    <row r="191" spans="2:19" s="83" customFormat="1" x14ac:dyDescent="0.3">
      <c r="B191" s="101" t="s">
        <v>180</v>
      </c>
      <c r="C191" s="85">
        <f>+'Notice de calcul'!AF51</f>
        <v>0</v>
      </c>
      <c r="D191" s="65">
        <f>+C191*0.58*0.7</f>
        <v>0</v>
      </c>
      <c r="E191" s="84">
        <f>+$D191*E$39/$K$39</f>
        <v>0</v>
      </c>
      <c r="F191" s="84">
        <f t="shared" si="52"/>
        <v>0</v>
      </c>
      <c r="G191" s="84">
        <f t="shared" si="52"/>
        <v>0</v>
      </c>
      <c r="H191" s="84">
        <f t="shared" si="52"/>
        <v>0</v>
      </c>
      <c r="I191" s="84">
        <f t="shared" si="52"/>
        <v>0</v>
      </c>
      <c r="J191" s="84">
        <f t="shared" si="52"/>
        <v>0</v>
      </c>
      <c r="P191" s="32"/>
      <c r="Q191" s="37"/>
      <c r="R191" s="37"/>
      <c r="S191" s="37"/>
    </row>
    <row r="192" spans="2:19" s="83" customFormat="1" x14ac:dyDescent="0.3">
      <c r="B192" s="101" t="s">
        <v>175</v>
      </c>
      <c r="C192" s="85">
        <f>+'Notice de calcul'!AF52</f>
        <v>0</v>
      </c>
      <c r="D192" s="65">
        <f>+C192*0.47*0.8</f>
        <v>0</v>
      </c>
      <c r="E192" s="84">
        <f t="shared" ref="E192:E201" si="53">+$D192*E$39/$K$39</f>
        <v>0</v>
      </c>
      <c r="F192" s="84">
        <f t="shared" si="52"/>
        <v>0</v>
      </c>
      <c r="G192" s="84">
        <f t="shared" si="52"/>
        <v>0</v>
      </c>
      <c r="H192" s="84">
        <f t="shared" si="52"/>
        <v>0</v>
      </c>
      <c r="I192" s="84">
        <f t="shared" si="52"/>
        <v>0</v>
      </c>
      <c r="J192" s="84">
        <f t="shared" si="52"/>
        <v>0</v>
      </c>
      <c r="P192" s="32"/>
      <c r="Q192" s="37"/>
      <c r="R192" s="37"/>
      <c r="S192" s="37"/>
    </row>
    <row r="193" spans="2:19" s="83" customFormat="1" x14ac:dyDescent="0.3">
      <c r="B193" s="101" t="s">
        <v>181</v>
      </c>
      <c r="C193" s="85">
        <f>+'Notice de calcul'!AF53</f>
        <v>0</v>
      </c>
      <c r="D193" s="65">
        <f>+C193*0.58*0.8</f>
        <v>0</v>
      </c>
      <c r="E193" s="84">
        <f t="shared" si="53"/>
        <v>0</v>
      </c>
      <c r="F193" s="84">
        <f t="shared" si="52"/>
        <v>0</v>
      </c>
      <c r="G193" s="84">
        <f t="shared" si="52"/>
        <v>0</v>
      </c>
      <c r="H193" s="84">
        <f t="shared" si="52"/>
        <v>0</v>
      </c>
      <c r="I193" s="84">
        <f t="shared" si="52"/>
        <v>0</v>
      </c>
      <c r="J193" s="84">
        <f t="shared" si="52"/>
        <v>0</v>
      </c>
      <c r="P193" s="32"/>
      <c r="Q193" s="37"/>
      <c r="R193" s="37"/>
      <c r="S193" s="37"/>
    </row>
    <row r="194" spans="2:19" s="83" customFormat="1" x14ac:dyDescent="0.3">
      <c r="B194" s="101" t="s">
        <v>176</v>
      </c>
      <c r="C194" s="85">
        <f>+'Notice de calcul'!AF54</f>
        <v>0</v>
      </c>
      <c r="D194" s="65">
        <f>+C194*0.47*1.1</f>
        <v>0</v>
      </c>
      <c r="E194" s="84">
        <f t="shared" si="53"/>
        <v>0</v>
      </c>
      <c r="F194" s="84">
        <f t="shared" si="52"/>
        <v>0</v>
      </c>
      <c r="G194" s="84">
        <f t="shared" si="52"/>
        <v>0</v>
      </c>
      <c r="H194" s="84">
        <f t="shared" si="52"/>
        <v>0</v>
      </c>
      <c r="I194" s="84">
        <f t="shared" si="52"/>
        <v>0</v>
      </c>
      <c r="J194" s="84">
        <f t="shared" si="52"/>
        <v>0</v>
      </c>
      <c r="P194" s="32"/>
      <c r="Q194" s="37"/>
      <c r="R194" s="37"/>
      <c r="S194" s="37"/>
    </row>
    <row r="195" spans="2:19" s="83" customFormat="1" x14ac:dyDescent="0.3">
      <c r="B195" s="101" t="s">
        <v>182</v>
      </c>
      <c r="C195" s="85">
        <f>+'Notice de calcul'!AF55</f>
        <v>0</v>
      </c>
      <c r="D195" s="65">
        <f>+C195*0.58*1.1</f>
        <v>0</v>
      </c>
      <c r="E195" s="84">
        <f t="shared" si="53"/>
        <v>0</v>
      </c>
      <c r="F195" s="84">
        <f t="shared" si="52"/>
        <v>0</v>
      </c>
      <c r="G195" s="84">
        <f t="shared" si="52"/>
        <v>0</v>
      </c>
      <c r="H195" s="84">
        <f t="shared" si="52"/>
        <v>0</v>
      </c>
      <c r="I195" s="84">
        <f t="shared" si="52"/>
        <v>0</v>
      </c>
      <c r="J195" s="84">
        <f t="shared" si="52"/>
        <v>0</v>
      </c>
      <c r="P195" s="32"/>
      <c r="Q195" s="37"/>
      <c r="R195" s="37"/>
      <c r="S195" s="37"/>
    </row>
    <row r="196" spans="2:19" s="83" customFormat="1" x14ac:dyDescent="0.3">
      <c r="B196" s="101" t="s">
        <v>177</v>
      </c>
      <c r="C196" s="85">
        <f>+'Notice de calcul'!AI50</f>
        <v>0</v>
      </c>
      <c r="D196" s="65">
        <f>+C196*0.47*1.3</f>
        <v>0</v>
      </c>
      <c r="E196" s="84">
        <f t="shared" si="53"/>
        <v>0</v>
      </c>
      <c r="F196" s="84">
        <f t="shared" si="52"/>
        <v>0</v>
      </c>
      <c r="G196" s="84">
        <f t="shared" si="52"/>
        <v>0</v>
      </c>
      <c r="H196" s="84">
        <f t="shared" si="52"/>
        <v>0</v>
      </c>
      <c r="I196" s="84">
        <f t="shared" si="52"/>
        <v>0</v>
      </c>
      <c r="J196" s="84">
        <f t="shared" si="52"/>
        <v>0</v>
      </c>
      <c r="P196" s="32"/>
      <c r="Q196" s="37"/>
      <c r="R196" s="37"/>
      <c r="S196" s="37"/>
    </row>
    <row r="197" spans="2:19" s="83" customFormat="1" x14ac:dyDescent="0.3">
      <c r="B197" s="101" t="s">
        <v>183</v>
      </c>
      <c r="C197" s="85">
        <f>+'Notice de calcul'!AI51</f>
        <v>0</v>
      </c>
      <c r="D197" s="65">
        <f>+C197*0.58*1.3</f>
        <v>0</v>
      </c>
      <c r="E197" s="84">
        <f t="shared" si="53"/>
        <v>0</v>
      </c>
      <c r="F197" s="84">
        <f t="shared" si="52"/>
        <v>0</v>
      </c>
      <c r="G197" s="84">
        <f t="shared" si="52"/>
        <v>0</v>
      </c>
      <c r="H197" s="84">
        <f t="shared" si="52"/>
        <v>0</v>
      </c>
      <c r="I197" s="84">
        <f t="shared" si="52"/>
        <v>0</v>
      </c>
      <c r="J197" s="84">
        <f t="shared" si="52"/>
        <v>0</v>
      </c>
      <c r="P197" s="32"/>
      <c r="Q197" s="37"/>
      <c r="R197" s="37"/>
      <c r="S197" s="37"/>
    </row>
    <row r="198" spans="2:19" s="83" customFormat="1" x14ac:dyDescent="0.3">
      <c r="B198" s="101" t="s">
        <v>178</v>
      </c>
      <c r="C198" s="85">
        <f>+'Notice de calcul'!AI52</f>
        <v>0</v>
      </c>
      <c r="D198" s="65">
        <f>+C198*0.47*1.5</f>
        <v>0</v>
      </c>
      <c r="E198" s="84">
        <f t="shared" si="53"/>
        <v>0</v>
      </c>
      <c r="F198" s="84">
        <f t="shared" si="52"/>
        <v>0</v>
      </c>
      <c r="G198" s="84">
        <f t="shared" si="52"/>
        <v>0</v>
      </c>
      <c r="H198" s="84">
        <f t="shared" si="52"/>
        <v>0</v>
      </c>
      <c r="I198" s="84">
        <f t="shared" si="52"/>
        <v>0</v>
      </c>
      <c r="J198" s="84">
        <f t="shared" si="52"/>
        <v>0</v>
      </c>
      <c r="P198" s="32"/>
      <c r="Q198" s="37"/>
      <c r="R198" s="37"/>
      <c r="S198" s="37"/>
    </row>
    <row r="199" spans="2:19" s="83" customFormat="1" x14ac:dyDescent="0.3">
      <c r="B199" s="101" t="s">
        <v>184</v>
      </c>
      <c r="C199" s="85">
        <f>+'Notice de calcul'!AI53</f>
        <v>0</v>
      </c>
      <c r="D199" s="65">
        <f>+C199*0.58*1.5</f>
        <v>0</v>
      </c>
      <c r="E199" s="84">
        <f t="shared" si="53"/>
        <v>0</v>
      </c>
      <c r="F199" s="84">
        <f t="shared" si="52"/>
        <v>0</v>
      </c>
      <c r="G199" s="84">
        <f t="shared" si="52"/>
        <v>0</v>
      </c>
      <c r="H199" s="84">
        <f t="shared" si="52"/>
        <v>0</v>
      </c>
      <c r="I199" s="84">
        <f t="shared" si="52"/>
        <v>0</v>
      </c>
      <c r="J199" s="84">
        <f t="shared" si="52"/>
        <v>0</v>
      </c>
      <c r="P199" s="32"/>
      <c r="Q199" s="37"/>
      <c r="R199" s="37"/>
      <c r="S199" s="37"/>
    </row>
    <row r="200" spans="2:19" s="83" customFormat="1" x14ac:dyDescent="0.3">
      <c r="B200" s="101" t="s">
        <v>179</v>
      </c>
      <c r="C200" s="85">
        <f>+'Notice de calcul'!AI54</f>
        <v>0</v>
      </c>
      <c r="D200" s="65">
        <f>+C200*0.47*1.7</f>
        <v>0</v>
      </c>
      <c r="E200" s="84">
        <f t="shared" si="53"/>
        <v>0</v>
      </c>
      <c r="F200" s="84">
        <f t="shared" si="52"/>
        <v>0</v>
      </c>
      <c r="G200" s="84">
        <f t="shared" si="52"/>
        <v>0</v>
      </c>
      <c r="H200" s="84">
        <f t="shared" si="52"/>
        <v>0</v>
      </c>
      <c r="I200" s="84">
        <f t="shared" si="52"/>
        <v>0</v>
      </c>
      <c r="J200" s="84">
        <f t="shared" si="52"/>
        <v>0</v>
      </c>
      <c r="P200" s="32"/>
      <c r="Q200" s="37"/>
      <c r="R200" s="37"/>
      <c r="S200" s="37"/>
    </row>
    <row r="201" spans="2:19" s="83" customFormat="1" x14ac:dyDescent="0.3">
      <c r="B201" s="101" t="s">
        <v>185</v>
      </c>
      <c r="C201" s="85">
        <f>+'Notice de calcul'!AI55</f>
        <v>0</v>
      </c>
      <c r="D201" s="65">
        <f>+C201*0.58*1.7</f>
        <v>0</v>
      </c>
      <c r="E201" s="84">
        <f t="shared" si="53"/>
        <v>0</v>
      </c>
      <c r="F201" s="84">
        <f t="shared" si="52"/>
        <v>0</v>
      </c>
      <c r="G201" s="84">
        <f t="shared" si="52"/>
        <v>0</v>
      </c>
      <c r="H201" s="84">
        <f t="shared" si="52"/>
        <v>0</v>
      </c>
      <c r="I201" s="84">
        <f t="shared" si="52"/>
        <v>0</v>
      </c>
      <c r="J201" s="84">
        <f t="shared" si="52"/>
        <v>0</v>
      </c>
      <c r="P201" s="32"/>
      <c r="Q201" s="37"/>
      <c r="R201" s="37"/>
      <c r="S201" s="37"/>
    </row>
    <row r="202" spans="2:19" s="83" customFormat="1" x14ac:dyDescent="0.3">
      <c r="B202" s="109" t="s">
        <v>191</v>
      </c>
      <c r="C202" s="85"/>
      <c r="D202" s="65"/>
      <c r="E202" s="84"/>
      <c r="F202" s="84"/>
      <c r="G202" s="84"/>
      <c r="H202" s="84"/>
      <c r="I202" s="84"/>
      <c r="J202" s="84"/>
      <c r="P202" s="32"/>
      <c r="Q202" s="37"/>
      <c r="R202" s="37"/>
      <c r="S202" s="37"/>
    </row>
    <row r="203" spans="2:19" s="83" customFormat="1" x14ac:dyDescent="0.3">
      <c r="B203" s="101" t="s">
        <v>202</v>
      </c>
      <c r="C203" s="85">
        <f>+'Notice de calcul'!AF57</f>
        <v>0</v>
      </c>
      <c r="D203" s="65">
        <f>+C203*3*0.375*1.18</f>
        <v>0</v>
      </c>
      <c r="E203" s="84">
        <f>+$D203*E$40/$K$40</f>
        <v>0</v>
      </c>
      <c r="F203" s="84">
        <f t="shared" ref="F203:J204" si="54">+$D203*F$40/$K$40</f>
        <v>0</v>
      </c>
      <c r="G203" s="84">
        <f t="shared" si="54"/>
        <v>0</v>
      </c>
      <c r="H203" s="84">
        <f t="shared" si="54"/>
        <v>0</v>
      </c>
      <c r="I203" s="84">
        <f t="shared" si="54"/>
        <v>0</v>
      </c>
      <c r="J203" s="84">
        <f>+$D203*J$40/$K$40</f>
        <v>0</v>
      </c>
      <c r="P203" s="32"/>
      <c r="Q203" s="37"/>
      <c r="R203" s="37"/>
      <c r="S203" s="37"/>
    </row>
    <row r="204" spans="2:19" s="83" customFormat="1" x14ac:dyDescent="0.3">
      <c r="B204" s="101" t="s">
        <v>203</v>
      </c>
      <c r="C204" s="85">
        <f>+'Notice de calcul'!AI57</f>
        <v>0</v>
      </c>
      <c r="D204" s="65">
        <f>+C204*1.8*1.18</f>
        <v>0</v>
      </c>
      <c r="E204" s="84">
        <f>+$D204*E$40/$K$40</f>
        <v>0</v>
      </c>
      <c r="F204" s="84">
        <f t="shared" si="54"/>
        <v>0</v>
      </c>
      <c r="G204" s="84">
        <f t="shared" si="54"/>
        <v>0</v>
      </c>
      <c r="H204" s="84">
        <f t="shared" si="54"/>
        <v>0</v>
      </c>
      <c r="I204" s="84">
        <f t="shared" si="54"/>
        <v>0</v>
      </c>
      <c r="J204" s="84">
        <f t="shared" si="54"/>
        <v>0</v>
      </c>
      <c r="P204" s="32"/>
      <c r="Q204" s="37"/>
      <c r="R204" s="37"/>
      <c r="S204" s="37"/>
    </row>
    <row r="205" spans="2:19" s="83" customFormat="1" x14ac:dyDescent="0.3">
      <c r="B205" s="109" t="s">
        <v>352</v>
      </c>
      <c r="C205" s="85"/>
      <c r="D205" s="65"/>
      <c r="E205" s="84"/>
      <c r="F205" s="84"/>
      <c r="G205" s="84"/>
      <c r="H205" s="84"/>
      <c r="I205" s="84"/>
      <c r="J205" s="84"/>
      <c r="P205" s="32"/>
      <c r="Q205" s="37"/>
      <c r="R205" s="37"/>
      <c r="S205" s="37"/>
    </row>
    <row r="206" spans="2:19" s="26" customFormat="1" x14ac:dyDescent="0.3">
      <c r="B206" s="102" t="s">
        <v>361</v>
      </c>
      <c r="C206" s="85">
        <f>+'Notice de calcul'!AF59</f>
        <v>0</v>
      </c>
      <c r="D206" s="278">
        <f>1.23*(2.44*1.2)*C206</f>
        <v>0</v>
      </c>
      <c r="E206" s="85">
        <f>+$D206*E$25/$K$25</f>
        <v>0</v>
      </c>
      <c r="F206" s="85">
        <f t="shared" ref="F206:J207" si="55">+$D206*F$25/$K$25</f>
        <v>0</v>
      </c>
      <c r="G206" s="85">
        <f t="shared" si="55"/>
        <v>0</v>
      </c>
      <c r="H206" s="85">
        <f t="shared" si="55"/>
        <v>0</v>
      </c>
      <c r="I206" s="85">
        <f t="shared" si="55"/>
        <v>0</v>
      </c>
      <c r="J206" s="85">
        <f t="shared" si="55"/>
        <v>0</v>
      </c>
      <c r="K206" s="26" t="s">
        <v>362</v>
      </c>
      <c r="P206" s="32"/>
      <c r="Q206" s="37"/>
      <c r="R206" s="37"/>
      <c r="S206" s="37"/>
    </row>
    <row r="207" spans="2:19" s="26" customFormat="1" x14ac:dyDescent="0.3">
      <c r="B207" s="102" t="s">
        <v>363</v>
      </c>
      <c r="C207" s="85">
        <f>+'Notice de calcul'!AI59</f>
        <v>0</v>
      </c>
      <c r="D207" s="278">
        <f>0.77*(2.44*1.2)*C207</f>
        <v>0</v>
      </c>
      <c r="E207" s="85">
        <f>+$D207*E$25/$K$25</f>
        <v>0</v>
      </c>
      <c r="F207" s="85">
        <f t="shared" si="55"/>
        <v>0</v>
      </c>
      <c r="G207" s="85">
        <f t="shared" si="55"/>
        <v>0</v>
      </c>
      <c r="H207" s="85">
        <f t="shared" si="55"/>
        <v>0</v>
      </c>
      <c r="I207" s="85">
        <f t="shared" si="55"/>
        <v>0</v>
      </c>
      <c r="J207" s="85">
        <f t="shared" si="55"/>
        <v>0</v>
      </c>
      <c r="K207" s="26" t="s">
        <v>364</v>
      </c>
      <c r="P207" s="32"/>
      <c r="Q207" s="37"/>
      <c r="R207" s="37"/>
      <c r="S207" s="37"/>
    </row>
    <row r="208" spans="2:19" s="26" customFormat="1" x14ac:dyDescent="0.3">
      <c r="B208" s="109" t="s">
        <v>369</v>
      </c>
      <c r="C208" s="85"/>
      <c r="D208" s="278"/>
      <c r="E208" s="85"/>
      <c r="F208" s="85"/>
      <c r="G208" s="85"/>
      <c r="H208" s="85"/>
      <c r="I208" s="85"/>
      <c r="J208" s="85"/>
      <c r="P208" s="32"/>
      <c r="Q208" s="37"/>
      <c r="R208" s="37"/>
      <c r="S208" s="37"/>
    </row>
    <row r="209" spans="2:19" s="272" customFormat="1" x14ac:dyDescent="0.3">
      <c r="B209" s="273" t="s">
        <v>370</v>
      </c>
      <c r="C209" s="274">
        <f>+'Notice de calcul'!AI65</f>
        <v>0</v>
      </c>
      <c r="D209" s="275">
        <f>C209*(0.1*0.4*20)/1.17</f>
        <v>0</v>
      </c>
      <c r="E209" s="274">
        <f>+$D209*E$40/$K$40</f>
        <v>0</v>
      </c>
      <c r="F209" s="274">
        <f t="shared" ref="F209:J209" si="56">+$D209*F$40/$K$40</f>
        <v>0</v>
      </c>
      <c r="G209" s="274">
        <f t="shared" si="56"/>
        <v>0</v>
      </c>
      <c r="H209" s="274">
        <f t="shared" si="56"/>
        <v>0</v>
      </c>
      <c r="I209" s="274">
        <f t="shared" si="56"/>
        <v>0</v>
      </c>
      <c r="J209" s="274">
        <f t="shared" si="56"/>
        <v>0</v>
      </c>
      <c r="K209" s="272" t="s">
        <v>371</v>
      </c>
      <c r="P209" s="271"/>
      <c r="Q209" s="276"/>
      <c r="R209" s="276"/>
      <c r="S209" s="276"/>
    </row>
    <row r="210" spans="2:19" s="83" customFormat="1" x14ac:dyDescent="0.3">
      <c r="B210" s="109" t="s">
        <v>192</v>
      </c>
      <c r="C210" s="85"/>
      <c r="D210" s="65"/>
      <c r="E210" s="84"/>
      <c r="F210" s="84"/>
      <c r="G210" s="84"/>
      <c r="H210" s="84"/>
      <c r="I210" s="84"/>
      <c r="J210" s="84"/>
      <c r="P210" s="32"/>
      <c r="Q210" s="37"/>
      <c r="R210" s="37"/>
      <c r="S210" s="37"/>
    </row>
    <row r="211" spans="2:19" s="83" customFormat="1" x14ac:dyDescent="0.3">
      <c r="B211" s="101" t="s">
        <v>204</v>
      </c>
      <c r="C211" s="85">
        <f>+'Notice de calcul'!AF61</f>
        <v>0</v>
      </c>
      <c r="D211" s="65">
        <f>+C211*0.8*1.5</f>
        <v>0</v>
      </c>
      <c r="E211" s="84">
        <f t="shared" ref="E211:J215" si="57">+$D211*E$39/$K$39</f>
        <v>0</v>
      </c>
      <c r="F211" s="84">
        <f t="shared" si="57"/>
        <v>0</v>
      </c>
      <c r="G211" s="84">
        <f t="shared" si="57"/>
        <v>0</v>
      </c>
      <c r="H211" s="84">
        <f t="shared" si="57"/>
        <v>0</v>
      </c>
      <c r="I211" s="84">
        <f t="shared" si="57"/>
        <v>0</v>
      </c>
      <c r="J211" s="84">
        <f t="shared" si="57"/>
        <v>0</v>
      </c>
      <c r="P211" s="32"/>
      <c r="Q211" s="37"/>
      <c r="R211" s="37"/>
      <c r="S211" s="37"/>
    </row>
    <row r="212" spans="2:19" s="272" customFormat="1" x14ac:dyDescent="0.3">
      <c r="B212" s="273" t="s">
        <v>372</v>
      </c>
      <c r="C212" s="274">
        <f>+'Notice de calcul'!AF62</f>
        <v>0</v>
      </c>
      <c r="D212" s="275">
        <f>+C212*1*1.5</f>
        <v>0</v>
      </c>
      <c r="E212" s="274">
        <f t="shared" si="57"/>
        <v>0</v>
      </c>
      <c r="F212" s="274">
        <f t="shared" si="57"/>
        <v>0</v>
      </c>
      <c r="G212" s="274">
        <f t="shared" si="57"/>
        <v>0</v>
      </c>
      <c r="H212" s="274">
        <f t="shared" si="57"/>
        <v>0</v>
      </c>
      <c r="I212" s="274">
        <f t="shared" si="57"/>
        <v>0</v>
      </c>
      <c r="J212" s="274">
        <f t="shared" si="57"/>
        <v>0</v>
      </c>
      <c r="P212" s="271"/>
      <c r="Q212" s="276"/>
      <c r="R212" s="276"/>
      <c r="S212" s="276"/>
    </row>
    <row r="213" spans="2:19" s="272" customFormat="1" x14ac:dyDescent="0.3">
      <c r="B213" s="273" t="s">
        <v>309</v>
      </c>
      <c r="C213" s="274">
        <f>+'Notice de calcul'!AF63</f>
        <v>0</v>
      </c>
      <c r="D213" s="275">
        <f>+C213*1.2*1.5</f>
        <v>0</v>
      </c>
      <c r="E213" s="274">
        <f t="shared" si="57"/>
        <v>0</v>
      </c>
      <c r="F213" s="274">
        <f t="shared" si="57"/>
        <v>0</v>
      </c>
      <c r="G213" s="274">
        <f t="shared" si="57"/>
        <v>0</v>
      </c>
      <c r="H213" s="274">
        <f t="shared" si="57"/>
        <v>0</v>
      </c>
      <c r="I213" s="274">
        <f t="shared" si="57"/>
        <v>0</v>
      </c>
      <c r="J213" s="274">
        <f t="shared" si="57"/>
        <v>0</v>
      </c>
      <c r="P213" s="271"/>
      <c r="Q213" s="276"/>
      <c r="R213" s="276"/>
      <c r="S213" s="276"/>
    </row>
    <row r="214" spans="2:19" s="272" customFormat="1" x14ac:dyDescent="0.3">
      <c r="B214" s="273" t="s">
        <v>373</v>
      </c>
      <c r="C214" s="274">
        <f>+'Notice de calcul'!AI62</f>
        <v>0</v>
      </c>
      <c r="D214" s="275">
        <f>+C214*1*1.7</f>
        <v>0</v>
      </c>
      <c r="E214" s="274">
        <f t="shared" si="57"/>
        <v>0</v>
      </c>
      <c r="F214" s="274">
        <f t="shared" si="57"/>
        <v>0</v>
      </c>
      <c r="G214" s="274">
        <f t="shared" si="57"/>
        <v>0</v>
      </c>
      <c r="H214" s="274">
        <f t="shared" si="57"/>
        <v>0</v>
      </c>
      <c r="I214" s="274">
        <f t="shared" si="57"/>
        <v>0</v>
      </c>
      <c r="J214" s="274">
        <f t="shared" si="57"/>
        <v>0</v>
      </c>
      <c r="P214" s="271"/>
      <c r="Q214" s="276"/>
      <c r="R214" s="276"/>
      <c r="S214" s="276"/>
    </row>
    <row r="215" spans="2:19" s="272" customFormat="1" x14ac:dyDescent="0.3">
      <c r="B215" s="273" t="s">
        <v>374</v>
      </c>
      <c r="C215" s="274">
        <f>+'Notice de calcul'!AI63</f>
        <v>0</v>
      </c>
      <c r="D215" s="275">
        <f>+C215*1.2*1.7</f>
        <v>0</v>
      </c>
      <c r="E215" s="274">
        <f t="shared" si="57"/>
        <v>0</v>
      </c>
      <c r="F215" s="274">
        <f t="shared" si="57"/>
        <v>0</v>
      </c>
      <c r="G215" s="274">
        <f t="shared" si="57"/>
        <v>0</v>
      </c>
      <c r="H215" s="274">
        <f t="shared" si="57"/>
        <v>0</v>
      </c>
      <c r="I215" s="274">
        <f t="shared" si="57"/>
        <v>0</v>
      </c>
      <c r="J215" s="274">
        <f t="shared" si="57"/>
        <v>0</v>
      </c>
      <c r="P215" s="271"/>
      <c r="Q215" s="276"/>
      <c r="R215" s="276"/>
      <c r="S215" s="276"/>
    </row>
    <row r="216" spans="2:19" s="83" customFormat="1" x14ac:dyDescent="0.3">
      <c r="B216" s="101"/>
      <c r="C216" s="85"/>
      <c r="D216" s="65"/>
      <c r="E216" s="84"/>
      <c r="F216" s="84"/>
      <c r="G216" s="84"/>
      <c r="H216" s="84"/>
      <c r="I216" s="84"/>
      <c r="J216" s="84"/>
      <c r="P216" s="32"/>
      <c r="Q216" s="37"/>
      <c r="R216" s="37"/>
      <c r="S216" s="37"/>
    </row>
    <row r="217" spans="2:19" s="83" customFormat="1" x14ac:dyDescent="0.3">
      <c r="B217" s="101"/>
      <c r="C217" s="85"/>
      <c r="D217" s="65"/>
      <c r="E217" s="84"/>
      <c r="F217" s="84"/>
      <c r="G217" s="84"/>
      <c r="H217" s="84"/>
      <c r="I217" s="84"/>
      <c r="J217" s="84"/>
      <c r="P217" s="32"/>
      <c r="Q217" s="37"/>
      <c r="R217" s="37"/>
      <c r="S217" s="37"/>
    </row>
    <row r="218" spans="2:19" s="83" customFormat="1" x14ac:dyDescent="0.3">
      <c r="B218" s="101"/>
      <c r="C218" s="85"/>
      <c r="D218" s="65"/>
      <c r="E218" s="84"/>
      <c r="F218" s="84"/>
      <c r="G218" s="84"/>
      <c r="H218" s="84"/>
      <c r="I218" s="84"/>
      <c r="J218" s="84"/>
      <c r="P218" s="32"/>
      <c r="Q218" s="37"/>
      <c r="R218" s="37"/>
      <c r="S218" s="37"/>
    </row>
    <row r="219" spans="2:19" s="83" customFormat="1" x14ac:dyDescent="0.3">
      <c r="B219" s="1"/>
      <c r="F219" s="85"/>
      <c r="G219" s="84"/>
      <c r="H219" s="84"/>
      <c r="P219" s="32"/>
      <c r="Q219" s="37"/>
      <c r="R219" s="37"/>
      <c r="S219" s="37"/>
    </row>
    <row r="220" spans="2:19" ht="13.5" customHeight="1" x14ac:dyDescent="0.35">
      <c r="D220" s="31" t="s">
        <v>50</v>
      </c>
      <c r="E220" s="47"/>
      <c r="F220" s="47"/>
      <c r="G220" s="47"/>
      <c r="H220" s="47"/>
      <c r="I220" s="47"/>
      <c r="J220" s="47"/>
      <c r="O220" s="24"/>
      <c r="P220" s="24"/>
      <c r="Q220" s="24"/>
      <c r="R220" s="24"/>
    </row>
    <row r="221" spans="2:19" ht="15.5" x14ac:dyDescent="0.35">
      <c r="D221" s="48" t="s">
        <v>41</v>
      </c>
      <c r="E221" s="49">
        <v>125</v>
      </c>
      <c r="F221" s="49">
        <v>250</v>
      </c>
      <c r="G221" s="49">
        <v>500</v>
      </c>
      <c r="H221" s="50">
        <v>1000</v>
      </c>
      <c r="I221" s="49">
        <v>2000</v>
      </c>
      <c r="J221" s="49">
        <v>4000</v>
      </c>
      <c r="K221" s="51" t="s">
        <v>51</v>
      </c>
      <c r="L221" s="52"/>
      <c r="M221" s="52"/>
      <c r="N221" s="52"/>
      <c r="O221" s="24"/>
      <c r="P221" s="24"/>
      <c r="Q221" s="24"/>
      <c r="R221" s="24"/>
    </row>
    <row r="222" spans="2:19" ht="16.5" customHeight="1" x14ac:dyDescent="0.35">
      <c r="D222" s="53" t="s">
        <v>52</v>
      </c>
      <c r="E222" s="54">
        <v>0.01</v>
      </c>
      <c r="F222" s="54">
        <v>0.02</v>
      </c>
      <c r="G222" s="54">
        <v>0.05</v>
      </c>
      <c r="H222" s="55">
        <v>0.23</v>
      </c>
      <c r="I222" s="54">
        <v>0.51</v>
      </c>
      <c r="J222" s="54">
        <v>0.63</v>
      </c>
      <c r="K222" s="55">
        <v>0.15</v>
      </c>
      <c r="L222" s="56"/>
      <c r="M222" s="56"/>
      <c r="N222" s="56"/>
      <c r="O222" s="24"/>
      <c r="P222" s="24"/>
      <c r="Q222" s="24"/>
      <c r="R222" s="24"/>
    </row>
    <row r="223" spans="2:19" ht="16.5" customHeight="1" x14ac:dyDescent="0.35">
      <c r="D223" s="53" t="s">
        <v>53</v>
      </c>
      <c r="E223" s="57">
        <v>0.01</v>
      </c>
      <c r="F223" s="57">
        <v>0.01</v>
      </c>
      <c r="G223" s="57">
        <v>1.3333333333333334E-2</v>
      </c>
      <c r="H223" s="40">
        <v>2.6666666666666668E-2</v>
      </c>
      <c r="I223" s="57">
        <v>0.04</v>
      </c>
      <c r="J223" s="57">
        <v>0.04</v>
      </c>
      <c r="K223" s="40">
        <v>0.05</v>
      </c>
      <c r="L223" s="56"/>
      <c r="M223" s="56"/>
      <c r="N223" s="56"/>
      <c r="O223" s="24"/>
      <c r="P223" s="24"/>
      <c r="Q223" s="24"/>
      <c r="R223" s="24"/>
    </row>
    <row r="224" spans="2:19" ht="16.5" customHeight="1" x14ac:dyDescent="0.35">
      <c r="D224" s="53" t="s">
        <v>54</v>
      </c>
      <c r="E224" s="54">
        <v>0.02</v>
      </c>
      <c r="F224" s="54">
        <v>0.02</v>
      </c>
      <c r="G224" s="54">
        <v>0.04</v>
      </c>
      <c r="H224" s="55">
        <v>0.03</v>
      </c>
      <c r="I224" s="54">
        <v>0.03</v>
      </c>
      <c r="J224" s="54">
        <v>0.02</v>
      </c>
      <c r="K224" s="55">
        <v>0.05</v>
      </c>
      <c r="L224" s="56"/>
      <c r="M224" s="56"/>
      <c r="N224" s="56"/>
      <c r="O224" s="24"/>
      <c r="P224" s="24"/>
      <c r="Q224" s="24"/>
      <c r="R224" s="24"/>
    </row>
    <row r="225" spans="4:29" ht="16.5" customHeight="1" x14ac:dyDescent="0.35">
      <c r="D225" s="58" t="s">
        <v>15</v>
      </c>
      <c r="E225" s="57">
        <v>0.04</v>
      </c>
      <c r="F225" s="57">
        <v>0.04</v>
      </c>
      <c r="G225" s="57">
        <v>7.0000000000000007E-2</v>
      </c>
      <c r="H225" s="208">
        <v>7.0000000000000007E-2</v>
      </c>
      <c r="I225" s="208">
        <v>7.0000000000000007E-2</v>
      </c>
      <c r="J225" s="208">
        <v>7.0000000000000007E-2</v>
      </c>
      <c r="K225" s="55">
        <v>0.05</v>
      </c>
      <c r="L225" s="56"/>
      <c r="M225" s="56"/>
      <c r="N225" s="56"/>
      <c r="O225" s="24"/>
      <c r="P225" s="24"/>
      <c r="Q225" s="24"/>
      <c r="R225" s="24"/>
    </row>
    <row r="226" spans="4:29" ht="18" customHeight="1" x14ac:dyDescent="0.3">
      <c r="D226" s="59" t="s">
        <v>55</v>
      </c>
      <c r="E226" s="57">
        <v>0.185</v>
      </c>
      <c r="F226" s="57">
        <v>0.14000000000000001</v>
      </c>
      <c r="G226" s="57">
        <v>8.1666666666666665E-2</v>
      </c>
      <c r="H226" s="57">
        <v>5.1666666666666666E-2</v>
      </c>
      <c r="I226" s="57">
        <v>4.8333333333333332E-2</v>
      </c>
      <c r="J226" s="57">
        <v>4.4999999999999998E-2</v>
      </c>
      <c r="K226" s="55">
        <v>0.1</v>
      </c>
      <c r="L226" s="56"/>
      <c r="M226" s="56"/>
      <c r="N226" s="56"/>
      <c r="O226" s="24"/>
      <c r="P226" s="24"/>
      <c r="Q226" s="24"/>
      <c r="R226" s="24"/>
    </row>
    <row r="227" spans="4:29" ht="18" customHeight="1" x14ac:dyDescent="0.3">
      <c r="D227" s="59" t="s">
        <v>56</v>
      </c>
      <c r="E227" s="57">
        <v>0.12</v>
      </c>
      <c r="F227" s="57">
        <v>0.08</v>
      </c>
      <c r="G227" s="57">
        <v>5.000000000000001E-2</v>
      </c>
      <c r="H227" s="57">
        <v>0.04</v>
      </c>
      <c r="I227" s="57">
        <v>0.03</v>
      </c>
      <c r="J227" s="57">
        <v>0.02</v>
      </c>
      <c r="K227" s="55">
        <v>0.05</v>
      </c>
      <c r="L227" s="56"/>
      <c r="M227" s="56"/>
      <c r="N227" s="56"/>
      <c r="O227" s="24"/>
      <c r="P227" s="24"/>
      <c r="Q227" s="24"/>
      <c r="R227" s="24"/>
    </row>
    <row r="228" spans="4:29" ht="18" customHeight="1" x14ac:dyDescent="0.3">
      <c r="D228" s="59" t="s">
        <v>57</v>
      </c>
      <c r="E228" s="57">
        <v>0.01</v>
      </c>
      <c r="F228" s="57">
        <v>0.01</v>
      </c>
      <c r="G228" s="57">
        <v>0.02</v>
      </c>
      <c r="H228" s="57">
        <v>0.02</v>
      </c>
      <c r="I228" s="57">
        <v>0.03</v>
      </c>
      <c r="J228" s="57">
        <v>0.03</v>
      </c>
      <c r="K228" s="55">
        <v>0.05</v>
      </c>
      <c r="L228" s="56"/>
      <c r="M228" s="56"/>
      <c r="N228" s="56"/>
      <c r="O228" s="24"/>
      <c r="P228" s="24"/>
      <c r="Q228" s="24"/>
      <c r="R228" s="24"/>
    </row>
    <row r="229" spans="4:29" ht="18" customHeight="1" x14ac:dyDescent="0.3">
      <c r="D229" s="60" t="s">
        <v>58</v>
      </c>
      <c r="E229" s="57">
        <v>0.18333333333333335</v>
      </c>
      <c r="F229" s="57">
        <v>9.9999999999999992E-2</v>
      </c>
      <c r="G229" s="57">
        <v>4.3333333333333335E-2</v>
      </c>
      <c r="H229" s="57">
        <v>0.01</v>
      </c>
      <c r="I229" s="57">
        <v>0.01</v>
      </c>
      <c r="J229" s="57">
        <v>0.01</v>
      </c>
      <c r="K229" s="55">
        <v>0.05</v>
      </c>
      <c r="L229" s="56"/>
      <c r="M229" s="56"/>
      <c r="N229" s="56"/>
      <c r="O229" s="24"/>
      <c r="P229" s="24"/>
      <c r="Q229" s="24"/>
      <c r="R229" s="24"/>
    </row>
    <row r="230" spans="4:29" ht="18" customHeight="1" x14ac:dyDescent="0.3">
      <c r="D230" s="60" t="s">
        <v>59</v>
      </c>
      <c r="E230" s="57">
        <v>9.0000000000000011E-2</v>
      </c>
      <c r="F230" s="57">
        <v>0.04</v>
      </c>
      <c r="G230" s="57">
        <v>1.3333333333333334E-2</v>
      </c>
      <c r="H230" s="57">
        <v>0.01</v>
      </c>
      <c r="I230" s="57">
        <v>0.01</v>
      </c>
      <c r="J230" s="57">
        <v>0.01</v>
      </c>
      <c r="K230" s="55">
        <v>0.1</v>
      </c>
      <c r="L230" s="56"/>
      <c r="M230" s="56"/>
      <c r="N230" s="56"/>
      <c r="O230" s="24"/>
      <c r="P230" s="24"/>
      <c r="Q230" s="24"/>
      <c r="R230" s="24"/>
    </row>
    <row r="231" spans="4:29" ht="18" customHeight="1" x14ac:dyDescent="0.3">
      <c r="D231" s="59" t="s">
        <v>16</v>
      </c>
      <c r="E231" s="57">
        <v>0.12</v>
      </c>
      <c r="F231" s="57">
        <v>0.08</v>
      </c>
      <c r="G231" s="57">
        <v>5.000000000000001E-2</v>
      </c>
      <c r="H231" s="57">
        <v>0.04</v>
      </c>
      <c r="I231" s="57">
        <v>0.03</v>
      </c>
      <c r="J231" s="57">
        <v>0.02</v>
      </c>
      <c r="K231" s="55">
        <v>0.05</v>
      </c>
      <c r="L231" s="56"/>
      <c r="M231" s="56"/>
      <c r="N231" s="56"/>
      <c r="O231" s="24"/>
      <c r="P231" s="24"/>
      <c r="Q231" s="24"/>
      <c r="R231" s="24"/>
    </row>
    <row r="232" spans="4:29" ht="15.5" x14ac:dyDescent="0.35">
      <c r="D232" s="53" t="s">
        <v>60</v>
      </c>
      <c r="E232" s="61">
        <v>0.2</v>
      </c>
      <c r="F232" s="61">
        <v>0.2</v>
      </c>
      <c r="G232" s="61">
        <v>0.3</v>
      </c>
      <c r="H232" s="61">
        <v>0.35</v>
      </c>
      <c r="I232" s="61">
        <v>0.35</v>
      </c>
      <c r="J232" s="61">
        <v>0.35</v>
      </c>
      <c r="K232" s="61">
        <v>0.45</v>
      </c>
      <c r="L232" s="62"/>
      <c r="M232" s="62"/>
      <c r="N232" s="62"/>
      <c r="O232" s="63"/>
      <c r="P232" s="61">
        <v>0.45</v>
      </c>
      <c r="Q232" s="61">
        <v>0.4</v>
      </c>
      <c r="R232" s="61">
        <v>0.55000000000000004</v>
      </c>
      <c r="S232" s="61">
        <v>0.65</v>
      </c>
      <c r="T232" s="61">
        <v>0.65</v>
      </c>
      <c r="U232" s="61">
        <v>0.6</v>
      </c>
      <c r="V232" s="61">
        <v>0.6</v>
      </c>
      <c r="W232" s="64">
        <v>-0.45</v>
      </c>
      <c r="X232" s="61">
        <f>Q232*0.55</f>
        <v>0.22000000000000003</v>
      </c>
      <c r="Y232" s="61">
        <f t="shared" ref="Y232:AC232" si="58">R232*0.55</f>
        <v>0.30250000000000005</v>
      </c>
      <c r="Z232" s="61">
        <f t="shared" si="58"/>
        <v>0.35750000000000004</v>
      </c>
      <c r="AA232" s="61">
        <f t="shared" si="58"/>
        <v>0.35750000000000004</v>
      </c>
      <c r="AB232" s="61">
        <f t="shared" si="58"/>
        <v>0.33</v>
      </c>
      <c r="AC232" s="61">
        <f t="shared" si="58"/>
        <v>0.33</v>
      </c>
    </row>
    <row r="233" spans="4:29" ht="15.75" customHeight="1" x14ac:dyDescent="0.35">
      <c r="D233" s="53" t="s">
        <v>61</v>
      </c>
      <c r="E233" s="57">
        <v>0.10000000000000002</v>
      </c>
      <c r="F233" s="57">
        <v>0.20000000000000004</v>
      </c>
      <c r="G233" s="57">
        <v>0.20000000000000004</v>
      </c>
      <c r="H233" s="57">
        <v>0.20000000000000004</v>
      </c>
      <c r="I233" s="57">
        <v>0.3</v>
      </c>
      <c r="J233" s="57">
        <v>0.3</v>
      </c>
      <c r="K233" s="55"/>
      <c r="L233" s="56"/>
      <c r="M233" s="56"/>
      <c r="N233" s="56"/>
      <c r="O233" s="24"/>
      <c r="P233" s="24"/>
      <c r="Q233" s="24"/>
      <c r="R233" s="24"/>
    </row>
    <row r="234" spans="4:29" ht="17.25" customHeight="1" x14ac:dyDescent="0.35">
      <c r="E234" s="47"/>
      <c r="F234" s="47"/>
      <c r="G234" s="47"/>
      <c r="H234" s="47"/>
      <c r="I234" s="47"/>
      <c r="J234" s="47"/>
      <c r="K234" s="24"/>
      <c r="P234" s="21"/>
      <c r="Q234" s="65"/>
      <c r="R234" s="65"/>
      <c r="S234" s="65"/>
      <c r="T234" s="65"/>
      <c r="U234" s="65"/>
      <c r="V234" s="65"/>
    </row>
    <row r="235" spans="4:29" ht="17.25" customHeight="1" x14ac:dyDescent="0.35">
      <c r="E235" s="47"/>
      <c r="F235" s="47"/>
      <c r="G235" s="47"/>
      <c r="H235" s="47"/>
      <c r="I235" s="47"/>
      <c r="J235" s="47"/>
      <c r="K235" s="24"/>
      <c r="P235" s="21"/>
      <c r="Q235" s="65"/>
      <c r="R235" s="65"/>
      <c r="S235" s="65"/>
      <c r="T235" s="65"/>
      <c r="U235" s="65"/>
      <c r="V235" s="65"/>
    </row>
    <row r="236" spans="4:29" ht="14.25" customHeight="1" x14ac:dyDescent="0.3">
      <c r="D236" s="31" t="s">
        <v>62</v>
      </c>
      <c r="P236" s="21"/>
      <c r="Q236" s="65"/>
      <c r="R236" s="65"/>
      <c r="S236" s="65"/>
      <c r="T236" s="65"/>
      <c r="U236" s="65"/>
      <c r="V236" s="65"/>
    </row>
    <row r="237" spans="4:29" ht="15.5" x14ac:dyDescent="0.35">
      <c r="D237" s="66" t="s">
        <v>63</v>
      </c>
      <c r="E237" s="67">
        <v>125</v>
      </c>
      <c r="F237" s="67">
        <v>250</v>
      </c>
      <c r="G237" s="67">
        <v>500</v>
      </c>
      <c r="H237" s="68">
        <v>1000</v>
      </c>
      <c r="I237" s="67">
        <v>2000</v>
      </c>
      <c r="J237" s="67">
        <v>4000</v>
      </c>
      <c r="K237" s="51" t="s">
        <v>17</v>
      </c>
      <c r="M237" s="52"/>
      <c r="N237" s="52"/>
    </row>
    <row r="238" spans="4:29" ht="16.5" customHeight="1" x14ac:dyDescent="0.3">
      <c r="D238" s="69" t="s">
        <v>64</v>
      </c>
      <c r="E238" s="57">
        <f t="shared" ref="E238:J238" si="59">$K$238*E222</f>
        <v>0</v>
      </c>
      <c r="F238" s="57">
        <f t="shared" si="59"/>
        <v>0</v>
      </c>
      <c r="G238" s="57">
        <f t="shared" si="59"/>
        <v>0</v>
      </c>
      <c r="H238" s="57">
        <f t="shared" si="59"/>
        <v>0</v>
      </c>
      <c r="I238" s="57">
        <f t="shared" si="59"/>
        <v>0</v>
      </c>
      <c r="J238" s="57">
        <f t="shared" si="59"/>
        <v>0</v>
      </c>
      <c r="K238" s="57">
        <f>'Notice de calcul'!W25</f>
        <v>0</v>
      </c>
      <c r="M238" s="70"/>
      <c r="N238" s="70"/>
    </row>
    <row r="239" spans="4:29" ht="16.5" customHeight="1" x14ac:dyDescent="0.35">
      <c r="D239" s="71" t="s">
        <v>65</v>
      </c>
      <c r="E239" s="57">
        <f t="shared" ref="E239:J239" si="60">$K$239*E223</f>
        <v>0</v>
      </c>
      <c r="F239" s="57">
        <f t="shared" si="60"/>
        <v>0</v>
      </c>
      <c r="G239" s="57">
        <f t="shared" si="60"/>
        <v>0</v>
      </c>
      <c r="H239" s="57">
        <f t="shared" si="60"/>
        <v>0</v>
      </c>
      <c r="I239" s="57">
        <f t="shared" si="60"/>
        <v>0</v>
      </c>
      <c r="J239" s="57">
        <f t="shared" si="60"/>
        <v>0</v>
      </c>
      <c r="K239" s="57">
        <f>'Notice de calcul'!W26</f>
        <v>0</v>
      </c>
      <c r="M239" s="70"/>
      <c r="N239" s="70"/>
    </row>
    <row r="240" spans="4:29" ht="16.5" customHeight="1" x14ac:dyDescent="0.35">
      <c r="D240" s="71" t="s">
        <v>66</v>
      </c>
      <c r="E240" s="57">
        <f t="shared" ref="E240:J240" si="61">$K$240*E224</f>
        <v>0</v>
      </c>
      <c r="F240" s="57">
        <f t="shared" si="61"/>
        <v>0</v>
      </c>
      <c r="G240" s="57">
        <f t="shared" si="61"/>
        <v>0</v>
      </c>
      <c r="H240" s="57">
        <f t="shared" si="61"/>
        <v>0</v>
      </c>
      <c r="I240" s="57">
        <f t="shared" si="61"/>
        <v>0</v>
      </c>
      <c r="J240" s="57">
        <f t="shared" si="61"/>
        <v>0</v>
      </c>
      <c r="K240" s="57">
        <f>'Notice de calcul'!W27</f>
        <v>0</v>
      </c>
      <c r="M240" s="70"/>
      <c r="N240" s="70"/>
    </row>
    <row r="241" spans="4:15" ht="16.5" customHeight="1" x14ac:dyDescent="0.35">
      <c r="D241" s="58" t="s">
        <v>67</v>
      </c>
      <c r="E241" s="57">
        <f t="shared" ref="E241:J241" si="62">$K$241*E225</f>
        <v>0</v>
      </c>
      <c r="F241" s="57">
        <f t="shared" si="62"/>
        <v>0</v>
      </c>
      <c r="G241" s="57">
        <f t="shared" si="62"/>
        <v>0</v>
      </c>
      <c r="H241" s="57">
        <f t="shared" si="62"/>
        <v>0</v>
      </c>
      <c r="I241" s="57">
        <f t="shared" si="62"/>
        <v>0</v>
      </c>
      <c r="J241" s="57">
        <f t="shared" si="62"/>
        <v>0</v>
      </c>
      <c r="K241" s="57">
        <f>'Notice de calcul'!W28+'Notice de calcul'!AH29</f>
        <v>0</v>
      </c>
      <c r="M241" s="70"/>
      <c r="N241" s="70"/>
    </row>
    <row r="242" spans="4:15" ht="15.5" x14ac:dyDescent="0.3">
      <c r="D242" s="69" t="s">
        <v>68</v>
      </c>
      <c r="E242" s="57">
        <f t="shared" ref="E242:J242" si="63">$K$242*E226</f>
        <v>0</v>
      </c>
      <c r="F242" s="57">
        <f t="shared" si="63"/>
        <v>0</v>
      </c>
      <c r="G242" s="57">
        <f t="shared" si="63"/>
        <v>0</v>
      </c>
      <c r="H242" s="57">
        <f t="shared" si="63"/>
        <v>0</v>
      </c>
      <c r="I242" s="57">
        <f t="shared" si="63"/>
        <v>0</v>
      </c>
      <c r="J242" s="57">
        <f t="shared" si="63"/>
        <v>0</v>
      </c>
      <c r="K242" s="57">
        <f>+'Notice de calcul'!AH25+'Notice de calcul'!J25</f>
        <v>0</v>
      </c>
      <c r="M242" s="70"/>
      <c r="N242" s="70"/>
    </row>
    <row r="243" spans="4:15" ht="15.5" x14ac:dyDescent="0.3">
      <c r="D243" s="69" t="s">
        <v>69</v>
      </c>
      <c r="E243" s="57">
        <f t="shared" ref="E243:J243" si="64">$K$243*E227</f>
        <v>0</v>
      </c>
      <c r="F243" s="57">
        <f t="shared" si="64"/>
        <v>0</v>
      </c>
      <c r="G243" s="57">
        <f t="shared" si="64"/>
        <v>0</v>
      </c>
      <c r="H243" s="57">
        <f t="shared" si="64"/>
        <v>0</v>
      </c>
      <c r="I243" s="57">
        <f t="shared" si="64"/>
        <v>0</v>
      </c>
      <c r="J243" s="57">
        <f t="shared" si="64"/>
        <v>0</v>
      </c>
      <c r="K243" s="57">
        <f>'Notice de calcul'!J26+'Notice de calcul'!AH30</f>
        <v>0</v>
      </c>
      <c r="M243" s="70"/>
      <c r="N243" s="70"/>
    </row>
    <row r="244" spans="4:15" ht="15.5" x14ac:dyDescent="0.3">
      <c r="D244" s="69" t="s">
        <v>70</v>
      </c>
      <c r="E244" s="57">
        <f t="shared" ref="E244:J244" si="65">$K$244*E228</f>
        <v>0</v>
      </c>
      <c r="F244" s="57">
        <f t="shared" si="65"/>
        <v>0</v>
      </c>
      <c r="G244" s="57">
        <f t="shared" si="65"/>
        <v>0</v>
      </c>
      <c r="H244" s="57">
        <f t="shared" si="65"/>
        <v>0</v>
      </c>
      <c r="I244" s="57">
        <f t="shared" si="65"/>
        <v>0</v>
      </c>
      <c r="J244" s="57">
        <f t="shared" si="65"/>
        <v>0</v>
      </c>
      <c r="K244" s="57">
        <f>'Notice de calcul'!J27+'Notice de calcul'!AH27</f>
        <v>0</v>
      </c>
      <c r="M244" s="70"/>
      <c r="N244" s="70"/>
    </row>
    <row r="245" spans="4:15" ht="15.5" x14ac:dyDescent="0.3">
      <c r="D245" s="60" t="s">
        <v>71</v>
      </c>
      <c r="E245" s="57">
        <f t="shared" ref="E245:J245" si="66">$K$245*E229</f>
        <v>0</v>
      </c>
      <c r="F245" s="57">
        <f t="shared" si="66"/>
        <v>0</v>
      </c>
      <c r="G245" s="57">
        <f t="shared" si="66"/>
        <v>0</v>
      </c>
      <c r="H245" s="57">
        <f t="shared" si="66"/>
        <v>0</v>
      </c>
      <c r="I245" s="57">
        <f t="shared" si="66"/>
        <v>0</v>
      </c>
      <c r="J245" s="57">
        <f t="shared" si="66"/>
        <v>0</v>
      </c>
      <c r="K245" s="57">
        <f>'Notice de calcul'!J28+'Notice de calcul'!AH28</f>
        <v>0</v>
      </c>
      <c r="M245" s="70"/>
      <c r="N245" s="70"/>
    </row>
    <row r="246" spans="4:15" ht="15.5" x14ac:dyDescent="0.3">
      <c r="D246" s="60" t="s">
        <v>72</v>
      </c>
      <c r="E246" s="57">
        <f t="shared" ref="E246:J246" si="67">$K$246*E230</f>
        <v>0</v>
      </c>
      <c r="F246" s="57">
        <f t="shared" si="67"/>
        <v>0</v>
      </c>
      <c r="G246" s="57">
        <f t="shared" si="67"/>
        <v>0</v>
      </c>
      <c r="H246" s="57">
        <f t="shared" si="67"/>
        <v>0</v>
      </c>
      <c r="I246" s="57">
        <f t="shared" si="67"/>
        <v>0</v>
      </c>
      <c r="J246" s="57">
        <f t="shared" si="67"/>
        <v>0</v>
      </c>
      <c r="K246" s="57">
        <f>'Notice de calcul'!J29</f>
        <v>0</v>
      </c>
      <c r="M246" s="70"/>
      <c r="N246" s="70"/>
    </row>
    <row r="247" spans="4:15" ht="15.5" x14ac:dyDescent="0.3">
      <c r="D247" s="69" t="s">
        <v>73</v>
      </c>
      <c r="E247" s="57">
        <f t="shared" ref="E247:J247" si="68">$K$247*E231</f>
        <v>0</v>
      </c>
      <c r="F247" s="57">
        <f t="shared" si="68"/>
        <v>0</v>
      </c>
      <c r="G247" s="57">
        <f t="shared" si="68"/>
        <v>0</v>
      </c>
      <c r="H247" s="57">
        <f t="shared" si="68"/>
        <v>0</v>
      </c>
      <c r="I247" s="57">
        <f t="shared" si="68"/>
        <v>0</v>
      </c>
      <c r="J247" s="57">
        <f t="shared" si="68"/>
        <v>0</v>
      </c>
      <c r="K247" s="57">
        <f>'Notice de calcul'!W30</f>
        <v>0</v>
      </c>
      <c r="M247" s="70"/>
      <c r="N247" s="70"/>
    </row>
    <row r="248" spans="4:15" ht="15.5" x14ac:dyDescent="0.3">
      <c r="D248" s="69" t="s">
        <v>74</v>
      </c>
      <c r="E248" s="57">
        <f t="shared" ref="E248:J248" si="69">$K$248*E232</f>
        <v>0</v>
      </c>
      <c r="F248" s="57">
        <f t="shared" si="69"/>
        <v>0</v>
      </c>
      <c r="G248" s="57">
        <f t="shared" si="69"/>
        <v>0</v>
      </c>
      <c r="H248" s="57">
        <f t="shared" si="69"/>
        <v>0</v>
      </c>
      <c r="I248" s="57">
        <f t="shared" si="69"/>
        <v>0</v>
      </c>
      <c r="J248" s="57">
        <f t="shared" si="69"/>
        <v>0</v>
      </c>
      <c r="K248" s="57">
        <f>+'Notice de calcul'!AH26</f>
        <v>0</v>
      </c>
      <c r="M248" s="70"/>
      <c r="N248" s="70"/>
    </row>
    <row r="249" spans="4:15" ht="15.5" x14ac:dyDescent="0.35">
      <c r="D249" s="53" t="s">
        <v>75</v>
      </c>
      <c r="E249" s="57">
        <f t="shared" ref="E249:J249" si="70">$I$2*E233</f>
        <v>0</v>
      </c>
      <c r="F249" s="57">
        <f t="shared" si="70"/>
        <v>0</v>
      </c>
      <c r="G249" s="57">
        <f t="shared" si="70"/>
        <v>0</v>
      </c>
      <c r="H249" s="57">
        <f t="shared" si="70"/>
        <v>0</v>
      </c>
      <c r="I249" s="57">
        <f t="shared" si="70"/>
        <v>0</v>
      </c>
      <c r="J249" s="57">
        <f t="shared" si="70"/>
        <v>0</v>
      </c>
      <c r="K249" s="70">
        <f>SUM(K238:K248)</f>
        <v>0</v>
      </c>
      <c r="M249" s="70"/>
      <c r="N249" s="70"/>
    </row>
    <row r="250" spans="4:15" ht="15.5" x14ac:dyDescent="0.3">
      <c r="D250" s="55" t="s">
        <v>76</v>
      </c>
      <c r="E250" s="57">
        <f t="shared" ref="E250:J250" si="71">SUM(E238:E249)</f>
        <v>0</v>
      </c>
      <c r="F250" s="57">
        <f t="shared" si="71"/>
        <v>0</v>
      </c>
      <c r="G250" s="57">
        <f t="shared" si="71"/>
        <v>0</v>
      </c>
      <c r="H250" s="57">
        <f t="shared" si="71"/>
        <v>0</v>
      </c>
      <c r="I250" s="57">
        <f t="shared" si="71"/>
        <v>0</v>
      </c>
      <c r="J250" s="57">
        <f t="shared" si="71"/>
        <v>0</v>
      </c>
      <c r="K250" s="70"/>
      <c r="M250" s="70"/>
      <c r="N250" s="70"/>
    </row>
    <row r="251" spans="4:15" ht="15.5" x14ac:dyDescent="0.3">
      <c r="D251" s="55" t="s">
        <v>27</v>
      </c>
      <c r="E251" s="57" t="e">
        <f>0.16*$G$5/E250</f>
        <v>#DIV/0!</v>
      </c>
      <c r="F251" s="57" t="e">
        <f t="shared" ref="F251:J251" si="72">0.16*$G$5/F250</f>
        <v>#DIV/0!</v>
      </c>
      <c r="G251" s="57" t="e">
        <f t="shared" si="72"/>
        <v>#DIV/0!</v>
      </c>
      <c r="H251" s="57" t="e">
        <f t="shared" si="72"/>
        <v>#DIV/0!</v>
      </c>
      <c r="I251" s="57" t="e">
        <f t="shared" si="72"/>
        <v>#DIV/0!</v>
      </c>
      <c r="J251" s="57" t="e">
        <f t="shared" si="72"/>
        <v>#DIV/0!</v>
      </c>
      <c r="K251" s="70"/>
      <c r="M251" s="70"/>
      <c r="N251" s="70"/>
    </row>
    <row r="252" spans="4:15" ht="15.5" x14ac:dyDescent="0.3">
      <c r="D252" s="56"/>
      <c r="E252" s="70"/>
      <c r="F252" s="70"/>
      <c r="G252" s="502" t="e">
        <f>AVERAGE(G251:I251)</f>
        <v>#DIV/0!</v>
      </c>
      <c r="H252" s="502"/>
      <c r="I252" s="502"/>
      <c r="J252" s="70"/>
      <c r="K252" s="70"/>
      <c r="M252" s="70"/>
      <c r="N252" s="70"/>
    </row>
    <row r="253" spans="4:15" ht="6.75" customHeight="1" x14ac:dyDescent="0.3">
      <c r="D253" s="72"/>
      <c r="E253" s="73"/>
      <c r="F253" s="73"/>
      <c r="G253" s="73"/>
      <c r="H253" s="73"/>
      <c r="I253" s="73"/>
      <c r="J253" s="73"/>
      <c r="K253" s="70"/>
      <c r="M253" s="70"/>
      <c r="N253" s="70"/>
    </row>
    <row r="254" spans="4:15" ht="17.25" customHeight="1" x14ac:dyDescent="0.3">
      <c r="D254" s="69" t="s">
        <v>77</v>
      </c>
      <c r="E254" s="57">
        <f>SUM(E44:E215)</f>
        <v>0</v>
      </c>
      <c r="F254" s="277">
        <f t="shared" ref="F254:J254" si="73">SUM(F44:F215)</f>
        <v>0</v>
      </c>
      <c r="G254" s="277">
        <f t="shared" si="73"/>
        <v>0</v>
      </c>
      <c r="H254" s="277">
        <f t="shared" si="73"/>
        <v>0</v>
      </c>
      <c r="I254" s="277">
        <f t="shared" si="73"/>
        <v>0</v>
      </c>
      <c r="J254" s="277">
        <f t="shared" si="73"/>
        <v>0</v>
      </c>
      <c r="K254" s="70"/>
      <c r="L254" s="70"/>
      <c r="M254" s="70"/>
      <c r="N254" s="70"/>
      <c r="O254" s="24"/>
    </row>
    <row r="255" spans="4:15" ht="17.25" customHeight="1" x14ac:dyDescent="0.3">
      <c r="D255" s="55" t="s">
        <v>78</v>
      </c>
      <c r="E255" s="57">
        <f>E250+E254</f>
        <v>0</v>
      </c>
      <c r="F255" s="57">
        <f>F250+F254</f>
        <v>0</v>
      </c>
      <c r="G255" s="57">
        <f t="shared" ref="G255:J255" si="74">G250+G254</f>
        <v>0</v>
      </c>
      <c r="H255" s="57">
        <f t="shared" si="74"/>
        <v>0</v>
      </c>
      <c r="I255" s="57">
        <f t="shared" si="74"/>
        <v>0</v>
      </c>
      <c r="J255" s="57">
        <f t="shared" si="74"/>
        <v>0</v>
      </c>
      <c r="K255" s="70"/>
      <c r="L255" s="70"/>
      <c r="M255" s="70"/>
      <c r="N255" s="70"/>
      <c r="O255" s="24"/>
    </row>
    <row r="256" spans="4:15" ht="17.25" customHeight="1" x14ac:dyDescent="0.3">
      <c r="D256" s="55" t="s">
        <v>28</v>
      </c>
      <c r="E256" s="74" t="e">
        <f t="shared" ref="E256:J256" si="75">0.16*$G$5/E255</f>
        <v>#DIV/0!</v>
      </c>
      <c r="F256" s="74" t="e">
        <f t="shared" si="75"/>
        <v>#DIV/0!</v>
      </c>
      <c r="G256" s="74" t="e">
        <f t="shared" si="75"/>
        <v>#DIV/0!</v>
      </c>
      <c r="H256" s="74" t="e">
        <f t="shared" si="75"/>
        <v>#DIV/0!</v>
      </c>
      <c r="I256" s="74" t="e">
        <f t="shared" si="75"/>
        <v>#DIV/0!</v>
      </c>
      <c r="J256" s="57" t="e">
        <f t="shared" si="75"/>
        <v>#DIV/0!</v>
      </c>
      <c r="K256" s="75"/>
      <c r="L256" s="75"/>
      <c r="M256" s="75"/>
      <c r="N256" s="75"/>
      <c r="O256" s="75"/>
    </row>
    <row r="257" spans="4:15" ht="15.5" x14ac:dyDescent="0.3">
      <c r="D257" s="56"/>
      <c r="E257" s="70"/>
      <c r="F257" s="70"/>
      <c r="G257" s="503" t="e">
        <f>AVERAGE(G256:I256)</f>
        <v>#DIV/0!</v>
      </c>
      <c r="H257" s="504"/>
      <c r="I257" s="505"/>
      <c r="J257" s="70"/>
      <c r="K257" s="75"/>
      <c r="L257" s="75"/>
      <c r="M257" s="75"/>
      <c r="N257" s="75"/>
      <c r="O257" s="75"/>
    </row>
    <row r="258" spans="4:15" x14ac:dyDescent="0.3">
      <c r="E258" s="76"/>
      <c r="F258" s="76"/>
      <c r="G258" s="76"/>
      <c r="H258" s="77"/>
      <c r="I258" s="76"/>
      <c r="J258" s="76"/>
    </row>
    <row r="259" spans="4:15" ht="15.5" x14ac:dyDescent="0.3">
      <c r="D259" s="78"/>
      <c r="E259" s="79"/>
      <c r="F259" s="79"/>
      <c r="G259" s="79"/>
      <c r="H259" s="80"/>
      <c r="I259" s="79"/>
      <c r="J259" s="79"/>
      <c r="K259" s="24"/>
      <c r="L259" s="24"/>
      <c r="M259" s="24"/>
      <c r="N259" s="24"/>
      <c r="O259" s="24"/>
    </row>
    <row r="261" spans="4:15" x14ac:dyDescent="0.3">
      <c r="E261" s="21" t="str">
        <f>IF(C44="Salle de réunion / formation",0.6,)&amp;IF(C44="Bureau individuel",0.6,)&amp;IF(C44="Bureaux collectifs",0.5,)&amp;IF(C44="Espace ouvert",IF(C66&lt;250,0.6,0.8),)&amp;IF(C44="Restaurant / cafétéria",IF(C66&lt;250,0.5,0.8),)</f>
        <v/>
      </c>
    </row>
  </sheetData>
  <mergeCells count="2">
    <mergeCell ref="G252:I252"/>
    <mergeCell ref="G257:I257"/>
  </mergeCells>
  <dataValidations count="2">
    <dataValidation allowBlank="1" showInputMessage="1" showErrorMessage="1" sqref="C52:C65 C88:C89 C84:C85 C92:C93 D148 F94 F219 E104:J104 D96:D126 C128:C133 D134 D141 D145 C68:C81 D182:D218" xr:uid="{00000000-0002-0000-0300-000000000000}"/>
    <dataValidation type="list" allowBlank="1" showInputMessage="1" showErrorMessage="1" sqref="Q17:Q25 Q82:Q219" xr:uid="{00000000-0002-0000-0300-000001000000}">
      <formula1>Nb</formula1>
    </dataValidation>
  </dataValidations>
  <pageMargins left="0.7" right="0.7" top="0.75" bottom="0.75" header="0.3" footer="0.3"/>
  <pageSetup paperSize="9" orientation="landscape" r:id="rId1"/>
  <colBreaks count="1" manualBreakCount="1"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8"/>
  <sheetViews>
    <sheetView workbookViewId="0">
      <selection activeCell="A8" sqref="A8"/>
    </sheetView>
  </sheetViews>
  <sheetFormatPr baseColWidth="10" defaultColWidth="11.453125" defaultRowHeight="12.5" x14ac:dyDescent="0.25"/>
  <cols>
    <col min="1" max="1" width="31.6328125" style="241" customWidth="1"/>
    <col min="2" max="2" width="25.6328125" style="241" customWidth="1"/>
    <col min="3" max="3" width="34.54296875" style="241" customWidth="1"/>
    <col min="4" max="16384" width="11.453125" style="241"/>
  </cols>
  <sheetData>
    <row r="1" spans="1:3" ht="14" x14ac:dyDescent="0.3">
      <c r="A1" s="506" t="s">
        <v>311</v>
      </c>
      <c r="B1" s="506"/>
      <c r="C1" s="506"/>
    </row>
    <row r="2" spans="1:3" x14ac:dyDescent="0.25">
      <c r="A2" s="242" t="s">
        <v>312</v>
      </c>
      <c r="B2" s="242" t="s">
        <v>313</v>
      </c>
      <c r="C2" s="242" t="s">
        <v>314</v>
      </c>
    </row>
    <row r="3" spans="1:3" ht="14" x14ac:dyDescent="0.25">
      <c r="A3" s="259" t="s">
        <v>365</v>
      </c>
      <c r="B3" s="243" t="s">
        <v>367</v>
      </c>
      <c r="C3" s="244" t="s">
        <v>366</v>
      </c>
    </row>
    <row r="4" spans="1:3" ht="14" x14ac:dyDescent="0.25">
      <c r="A4" s="259" t="s">
        <v>315</v>
      </c>
      <c r="B4" s="243" t="s">
        <v>316</v>
      </c>
      <c r="C4" s="245" t="s">
        <v>317</v>
      </c>
    </row>
    <row r="5" spans="1:3" ht="14" x14ac:dyDescent="0.25">
      <c r="A5" s="259" t="s">
        <v>379</v>
      </c>
      <c r="B5" s="243" t="s">
        <v>380</v>
      </c>
      <c r="C5" s="245" t="s">
        <v>381</v>
      </c>
    </row>
    <row r="6" spans="1:3" ht="14" x14ac:dyDescent="0.25">
      <c r="A6" s="259" t="s">
        <v>319</v>
      </c>
      <c r="B6" s="243" t="s">
        <v>320</v>
      </c>
      <c r="C6" s="244" t="s">
        <v>321</v>
      </c>
    </row>
    <row r="7" spans="1:3" ht="14" x14ac:dyDescent="0.25">
      <c r="A7" s="260" t="s">
        <v>322</v>
      </c>
      <c r="B7" s="259" t="s">
        <v>323</v>
      </c>
      <c r="C7" s="244" t="s">
        <v>324</v>
      </c>
    </row>
    <row r="8" spans="1:3" ht="14" x14ac:dyDescent="0.25">
      <c r="A8" s="260" t="s">
        <v>382</v>
      </c>
      <c r="B8" s="243" t="s">
        <v>383</v>
      </c>
      <c r="C8" s="245" t="s">
        <v>384</v>
      </c>
    </row>
    <row r="9" spans="1:3" ht="14" x14ac:dyDescent="0.25">
      <c r="A9" s="260" t="s">
        <v>325</v>
      </c>
      <c r="B9" s="259" t="s">
        <v>326</v>
      </c>
      <c r="C9" s="246" t="s">
        <v>327</v>
      </c>
    </row>
    <row r="10" spans="1:3" ht="14" x14ac:dyDescent="0.25">
      <c r="A10" s="261" t="s">
        <v>328</v>
      </c>
      <c r="B10" s="243" t="s">
        <v>329</v>
      </c>
      <c r="C10" s="244" t="s">
        <v>330</v>
      </c>
    </row>
    <row r="11" spans="1:3" ht="14" x14ac:dyDescent="0.25">
      <c r="A11" s="262" t="s">
        <v>331</v>
      </c>
      <c r="B11" s="263" t="s">
        <v>332</v>
      </c>
      <c r="C11" s="247" t="s">
        <v>333</v>
      </c>
    </row>
    <row r="12" spans="1:3" ht="14" x14ac:dyDescent="0.25">
      <c r="A12" s="259" t="s">
        <v>334</v>
      </c>
      <c r="B12" s="243" t="s">
        <v>335</v>
      </c>
      <c r="C12" s="244" t="s">
        <v>336</v>
      </c>
    </row>
    <row r="13" spans="1:3" ht="14" x14ac:dyDescent="0.25">
      <c r="A13" s="259" t="s">
        <v>385</v>
      </c>
      <c r="B13" s="243" t="s">
        <v>346</v>
      </c>
      <c r="C13" s="245" t="s">
        <v>386</v>
      </c>
    </row>
    <row r="14" spans="1:3" ht="14" x14ac:dyDescent="0.25">
      <c r="A14" s="248" t="s">
        <v>337</v>
      </c>
      <c r="B14" s="249" t="s">
        <v>338</v>
      </c>
      <c r="C14" s="250" t="s">
        <v>339</v>
      </c>
    </row>
    <row r="15" spans="1:3" ht="14" x14ac:dyDescent="0.25">
      <c r="A15" s="248" t="s">
        <v>340</v>
      </c>
      <c r="B15" s="249" t="s">
        <v>341</v>
      </c>
      <c r="C15" s="251" t="s">
        <v>342</v>
      </c>
    </row>
    <row r="16" spans="1:3" ht="14" x14ac:dyDescent="0.25">
      <c r="A16" s="260" t="s">
        <v>343</v>
      </c>
      <c r="B16" s="259" t="s">
        <v>344</v>
      </c>
      <c r="C16" s="253" t="s">
        <v>345</v>
      </c>
    </row>
    <row r="17" spans="1:3" ht="14" x14ac:dyDescent="0.25">
      <c r="A17" s="259" t="s">
        <v>387</v>
      </c>
      <c r="B17" s="243" t="s">
        <v>318</v>
      </c>
      <c r="C17" s="245" t="s">
        <v>388</v>
      </c>
    </row>
    <row r="18" spans="1:3" ht="14" x14ac:dyDescent="0.25">
      <c r="A18" s="259" t="s">
        <v>389</v>
      </c>
      <c r="B18" s="259" t="s">
        <v>355</v>
      </c>
      <c r="C18" s="252" t="s">
        <v>356</v>
      </c>
    </row>
  </sheetData>
  <mergeCells count="1">
    <mergeCell ref="A1:C1"/>
  </mergeCells>
  <hyperlinks>
    <hyperlink ref="C10" r:id="rId1" xr:uid="{00000000-0004-0000-0400-000000000000}"/>
    <hyperlink ref="C15" r:id="rId2" xr:uid="{00000000-0004-0000-0400-000001000000}"/>
    <hyperlink ref="C12" r:id="rId3" display="ssakoun@hoyez.com" xr:uid="{00000000-0004-0000-0400-000002000000}"/>
    <hyperlink ref="C16" r:id="rId4" display="ssonnier@my-openspace.com" xr:uid="{00000000-0004-0000-0400-000003000000}"/>
    <hyperlink ref="C9" r:id="rId5" display="mailto:ecatherine@my-openspace.com" xr:uid="{00000000-0004-0000-0400-000004000000}"/>
    <hyperlink ref="C6" r:id="rId6" display="csailly@my-openspace.com" xr:uid="{00000000-0004-0000-0400-000005000000}"/>
    <hyperlink ref="C4" r:id="rId7" xr:uid="{00000000-0004-0000-0400-000006000000}"/>
    <hyperlink ref="C18" r:id="rId8" xr:uid="{00000000-0004-0000-0400-000007000000}"/>
    <hyperlink ref="C13" r:id="rId9" xr:uid="{00000000-0004-0000-0400-000008000000}"/>
    <hyperlink ref="C8" r:id="rId10" xr:uid="{00000000-0004-0000-0400-000009000000}"/>
    <hyperlink ref="C5" r:id="rId11" xr:uid="{00000000-0004-0000-0400-00000A000000}"/>
    <hyperlink ref="C17" r:id="rId12" xr:uid="{00000000-0004-0000-0400-00000B000000}"/>
  </hyperlinks>
  <pageMargins left="0.7" right="0.7" top="0.75" bottom="0.75" header="0.3" footer="0.3"/>
  <pageSetup paperSize="9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Doc client</vt:lpstr>
      <vt:lpstr>Notice de calcul</vt:lpstr>
      <vt:lpstr>Datas</vt:lpstr>
      <vt:lpstr>Calcul</vt:lpstr>
      <vt:lpstr>Feuil1</vt:lpstr>
      <vt:lpstr>nombre</vt:lpstr>
      <vt:lpstr>'Doc client'!Zone_d_impression</vt:lpstr>
      <vt:lpstr>'Notice de calcul'!Zone_d_impression</vt:lpstr>
    </vt:vector>
  </TitlesOfParts>
  <Company>HOYEZ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coutsiers</dc:creator>
  <cp:lastModifiedBy>SachaB</cp:lastModifiedBy>
  <cp:lastPrinted>2021-05-04T18:34:22Z</cp:lastPrinted>
  <dcterms:created xsi:type="dcterms:W3CDTF">2007-10-01T09:52:03Z</dcterms:created>
  <dcterms:modified xsi:type="dcterms:W3CDTF">2024-01-10T14:58:13Z</dcterms:modified>
</cp:coreProperties>
</file>